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вод 2023" sheetId="1" r:id="rId1"/>
  </sheets>
  <definedNames>
    <definedName name="_GoBack" localSheetId="0">'свод 2023'!$I$587</definedName>
  </definedNames>
  <calcPr fullCalcOnLoad="1"/>
</workbook>
</file>

<file path=xl/sharedStrings.xml><?xml version="1.0" encoding="utf-8"?>
<sst xmlns="http://schemas.openxmlformats.org/spreadsheetml/2006/main" count="970" uniqueCount="805">
  <si>
    <t>Проведение текущих ремонтов и противопожарных мероприятий в МАУ ДОЦ «Орлёнок»</t>
  </si>
  <si>
    <t>счета за декабрь выставлены в январе 2024 г., страховые взносы за декабрь 2023 г.  уплачены в январе 2024 г.</t>
  </si>
  <si>
    <t>Доля общеобразовательных организаций, соответствующих современным требованиям обучения, в общем количестве общеобразовательных организаций</t>
  </si>
  <si>
    <t>Количество молодых специалистов, работающих в образовательных организациях, приступивших к работе в учебном году</t>
  </si>
  <si>
    <t>активное участие педагогов в конкурсах</t>
  </si>
  <si>
    <t>Доля обучающихся в общеобразовательных организациях, принимающих участие в муниципальном этапе всероссийской и областной олимпиады школьников, от общего числа обучающихся</t>
  </si>
  <si>
    <t>активное участие обучающихся в ООШ и ВсОШ</t>
  </si>
  <si>
    <t>Доля образовательных организаций, принятых к новому учебному году</t>
  </si>
  <si>
    <t>Количество образовательных организаций, внедряющих стандарты проекта «Школа Росатома»</t>
  </si>
  <si>
    <t>Доля детей I и II групп здоровья в общей численности обучающихся в общеобразовательных организациях</t>
  </si>
  <si>
    <t>временное размещение МБОУ СОШ № 125 в здании без пищеблока</t>
  </si>
  <si>
    <t>Количество подведомственных Управлению образования организаций</t>
  </si>
  <si>
    <t>работа по привлечению детей в организованные формы отдыха</t>
  </si>
  <si>
    <t>Доля несовершеннолетних,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несовершеннолетних, состоящих на профилактическом учете в органах внутренних дел Челябинской области</t>
  </si>
  <si>
    <t>Доля выполненных ремонтов в зданиях муниципальных организаций отдыха и оздоровления детей в общем количестве зданий муниципальных организаций отдыха и оздоровления детей, запланированных к проведению ремонта в текущем году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</si>
  <si>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</si>
  <si>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Наличие на официальном сайте размещенной информации по вопосам организации и прохождения муниципальной службы</t>
  </si>
  <si>
    <t>Наличие утвержденного кадрового резерва кадров для замещения дролжностей муниципальной службы</t>
  </si>
  <si>
    <t>Доля объема горячей воды, расчеты за которую осуществляются с использованием приборов учета, в общем объеме горячей воды, потребляемой муниципальными учреждениями</t>
  </si>
  <si>
    <t>Доля светодиодных светильников системы уличного освещения в общем количестве светильников системы уличного освещения</t>
  </si>
  <si>
    <t>Доля несовершеннолетних, охваченных профильными сменами, в общем числе детей, охваченных отдыхом в организациях отдыха детей и их оздоровления всех типов</t>
  </si>
  <si>
    <t xml:space="preserve">Предоставление льгот за присмотр и уход в дошкольных образовательных организациях в соответствии с нормативно-правовыми актами
</t>
  </si>
  <si>
    <t>Оборудование пунктов проведения экзаменов  государственной итоговой аттестации по образовательным программам среднего общего образования</t>
  </si>
  <si>
    <t>Протяженность обслуживаемых линий наружного освещения</t>
  </si>
  <si>
    <t>Протяженность обслуживаемых водопроводных сетей</t>
  </si>
  <si>
    <t>Площадь обслуживаемых помещений</t>
  </si>
  <si>
    <t>Площадь газонов на содержании</t>
  </si>
  <si>
    <t>Количество деревьев, подлежащих формовочной обрезке</t>
  </si>
  <si>
    <t>Удельный расход тепловой энергии на снабжение МУ на 1 м2 общей площади (Гкал/м2)</t>
  </si>
  <si>
    <t xml:space="preserve">Удельный расход горячей воды на снабжение МУ в расчете на 1 человека (м3/чел.)
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</si>
  <si>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муниципальными учреждениями</t>
  </si>
  <si>
    <t xml:space="preserve">– количество пострадавших в результате несчастных случаев на производстве с утратой трудоспособно-сти на 1 рабочий день и более </t>
  </si>
  <si>
    <t xml:space="preserve">Организация подготовки и проведения мероприятий в рамках Всемирного дня охраны труда (семинары–совещания, конкурсы)
</t>
  </si>
  <si>
    <t xml:space="preserve">Доля граждан старшего возраста (женщины: 55-79 года; мужчины: 60-79 лет), систематически занимающихся физической культурой и спортом 
в общей численности граждан старшего возраста
</t>
  </si>
  <si>
    <t>Финансовое обеспечение деятельности МКУ ЦОДОУ</t>
  </si>
  <si>
    <t>Количество получателей льгот за присмотр и уход в дошкольных образовательных организациях</t>
  </si>
  <si>
    <t>Предоставление субсидии в целях возмещения затрат, произведенных за счет целевых взносов на инженерное обеспечение территорий садоводческих, огороднических некоммерческих товариществ  в Снежинском городском округе</t>
  </si>
  <si>
    <t>Исполнение плана поступлений от перечисления  части прибыли муниципальных униатрных предприятий</t>
  </si>
  <si>
    <t>Снижение удельного веса численности обучающихся в общеобразовательных организациях, занимающихся в зданиях, требующих капитального ремонта или реконструкции</t>
  </si>
  <si>
    <t>Доля лагерей, принятых к началу летней оздоровительной кампании</t>
  </si>
  <si>
    <t>Итого по Программе 7</t>
  </si>
  <si>
    <t>Количество актуализированных Схем водоснабжения и водоотведения муниципального образования «Город Снежинск» на период с 2014г. по 2030г.</t>
  </si>
  <si>
    <t>Оценка эффективности реализации муниципальных программ в 2023 году</t>
  </si>
  <si>
    <t>1. Муниципальная Программа «Обеспечение доступным и комфортным жильем граждан Российской Федерации» в Снежинском городском округе» на 2022-2026 годы</t>
  </si>
  <si>
    <t>3. Муниципальная Программа "Обеспечение общественного порядка,  противодействие преступности  и профилактика правонарушений в Снежинском городском округе" на 2017 - 2025 годы</t>
  </si>
  <si>
    <t>Подпрограмма 1 "Привлечение населения города Снежинска к систематическим занятиям физической культурой и спортом"</t>
  </si>
  <si>
    <t>Улучшение взаимодействия с РФЯЦ-ВНИИТФ, увеличение занимающихся в общественных организациях по видам спорта баскетбол, футбол, легкая атлетика и др., а также за счет организации физкультурно-оздоровительной и спортивно-массовой работы с населением города за счет субсидий Минспорта Челябинской области</t>
  </si>
  <si>
    <t>Уменьшение количества инвалидов в г.Снежинске (по данным статистики), а также увеличение занимающихся за счет субсидий Минспорта Челябинской области</t>
  </si>
  <si>
    <t>Увеличение занимающихся в общественных организациях по видам спорта волейбол, футбол и др., а также за счет организации физкультурно-оздоровительной и спортивно-массовой работы с населением города за счет субсидий Минспорта Челябинской области</t>
  </si>
  <si>
    <t xml:space="preserve">После периода ковидных ограничений проведение части мероприятий не возобновлено </t>
  </si>
  <si>
    <t>За счет увеличения количества мероприятий, перешедших в состав массовых (фестиваль ГТО, турнир по волейболу "Мы помним! Мы гордимся!, вечерняя гонка памяти К.Кузнецова, Кросс нации)</t>
  </si>
  <si>
    <t>Уменьшилось за счет сокращения количества мероприятий в постковидный период</t>
  </si>
  <si>
    <t>Увеличилось количество и возможности ИТ ресурсов</t>
  </si>
  <si>
    <t>Улучшение взаимодействия с РФЯЦ-ВНИИТФ, увеличение занимающихся в общественных организациях по видам спорта баскетбол, футбол, легкая атлетика и др., а также за счет организации физкультурно-оздоровительной и спортивно-массовой работы с населением сраршего возраста за счет субсидий Минспорта Челябинской области</t>
  </si>
  <si>
    <t>Улучшение взаимодействия с РФЯЦ-ВНИИТФ, увеличение занимающихся в общественных организациях по видам спорта баскетбол, футбол, легкая атлетика и др., а также за счет организации физкультурно-оздоровительной и спортивно-массовой работы с населением старшего возраста за счет субсидий Минспорта Челябинской области</t>
  </si>
  <si>
    <t>8 школьных + 5 других (Вершина, Лидер, КЛБ, Группа здоровья, Русич)</t>
  </si>
  <si>
    <t>Переход из платных групп в группы, организованные за счет субсидий Минспорта Челябинской области</t>
  </si>
  <si>
    <t xml:space="preserve">Удельный вес занимающихся физической культурой и спортом на платной основе
</t>
  </si>
  <si>
    <t>За счет длительных ремонтов спортивных объектов (бассейн "Школьник", ФОК "Айсберг"</t>
  </si>
  <si>
    <t>Доля расходов по подпрограмме 1 в общем объеме полученных средств</t>
  </si>
  <si>
    <t>Снижение соревновательной практики</t>
  </si>
  <si>
    <t xml:space="preserve">Снижение соревновательной практики </t>
  </si>
  <si>
    <t>Повышение квалификации проходит в соответствии с планами</t>
  </si>
  <si>
    <t>Переход на дополнительное образование</t>
  </si>
  <si>
    <t>Повышение качества подготовки к соревнованиям</t>
  </si>
  <si>
    <t>Единовременная пропускная способность спортивных объектов, введенных в эксплуатацию (новых, после капитального ремонта или реконструкции)</t>
  </si>
  <si>
    <t>Уменьшение численности населения (по данным статистики), введение спортивного зала ("Новый Снежинск")</t>
  </si>
  <si>
    <t>Введение в эксплуатацию спортивного зала ("Новый Снежинск") 35 чел., ФОК - 47 чел., волейбольная площадка на стадионе - 20 чел.)</t>
  </si>
  <si>
    <t xml:space="preserve">Доля расходов по подпрограмме 3 в общем объеме полученных средств </t>
  </si>
  <si>
    <t xml:space="preserve">Доля расходов по подпрограмме 4 в общем объеме полученных средств </t>
  </si>
  <si>
    <t>15. 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</si>
  <si>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 Подпрограмма 2 "Предоставление дополнительных мер социальной поддержки отдельным категориям граждан (местные полномочия)"</t>
  </si>
  <si>
    <t>Итого по задаче 5</t>
  </si>
  <si>
    <t>Проведение диспансеризации муниципальных служащих органов местного самоуправления</t>
  </si>
  <si>
    <t xml:space="preserve">Повышение квалификации муниципальных служащих города, переподготовка, стажировка (с получением свидетельства государственного образца), участие в семинарах, конференциях по профильным направлениям деятельности и вопросам муниципальной службы </t>
  </si>
  <si>
    <t>Количество муниципальных служащих, прошедших повышение квалификации, переподготовку, стажировку</t>
  </si>
  <si>
    <t>Количество муниципальных служащих, принявших участие в семинарах (конференциях)</t>
  </si>
  <si>
    <t>Задача 2." Совершенствование системы учета муниципального имущества, земельных участков и контроля за их использованием"</t>
  </si>
  <si>
    <t>Задача 1 "Создание условий для обеспечения сбалансированности местного бюджета"</t>
  </si>
  <si>
    <t>Задача 2 "Организация и обеспечение бюджетного процесса в Снежинском городском округе"</t>
  </si>
  <si>
    <t>Задача 3 "Повышение эффективности управления муниципальным долгом"</t>
  </si>
  <si>
    <t>Задача 1.  "Проведение мероприятий по противодействию и профилактике проявлений терроризма и экстремизма на территории Снежинского городского округа".</t>
  </si>
  <si>
    <t xml:space="preserve">Итого по задаче 1 </t>
  </si>
  <si>
    <t>Задача 2. "Организация взаимодействия органов местного самоуправления, правоохранительных органов в решении задач по предупреждению терроризма и экстремизма на территории Снежинского городского округа".</t>
  </si>
  <si>
    <t>Задача 3. "Повышение уровня информированности населения о порядке действий в случаях угрозы возникновения террористического акта".</t>
  </si>
  <si>
    <t xml:space="preserve">Итого по задаче 3 </t>
  </si>
  <si>
    <t>Подпрограмма 4 "Сохранение и популяризация объектов культурного наследия"</t>
  </si>
  <si>
    <t>Итого по подпрограмме 4</t>
  </si>
  <si>
    <t>Итого по подпрограмме 3</t>
  </si>
  <si>
    <t>доля расходов по подпрограмме 3 в общем объеме полученных средств</t>
  </si>
  <si>
    <t>доля расходов по подпрограмме 4 в общем объеме полученных средств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</si>
  <si>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(в 2023 году - МБУДО «Снежинская детская музыкальная школа им. П.И.Чайковского»)</t>
  </si>
  <si>
    <t xml:space="preserve">Проведение ремонтных работ, противопожарных мероприятий, энергосберегающих мероприятий в зданиях муниципальных учреждений дополнительного образования в сфере культуры и искусства </t>
  </si>
  <si>
    <t>Итого по подпрограмме 5</t>
  </si>
  <si>
    <t>Финансовое обеспечение деятельности МКУ "УКиМП"</t>
  </si>
  <si>
    <t>финансирование без учета выплаты страховых взносов за декабрь 2023 года</t>
  </si>
  <si>
    <t xml:space="preserve">Количество деревьев, подлежащих формовочной обрезке </t>
  </si>
  <si>
    <t>Активная работа отдела ГТО</t>
  </si>
  <si>
    <t>Повышение требований к занимающимся в соответствии со стандартами спортивной подготовки</t>
  </si>
  <si>
    <t>показатель привязан к средствам, выделяемым по Программе "Развитие образования"</t>
  </si>
  <si>
    <t>Итого по Подпрограмме 3</t>
  </si>
  <si>
    <t>увеличение количества победителей</t>
  </si>
  <si>
    <t>результат пропаганды здорового образа жизни</t>
  </si>
  <si>
    <t>Количество обучающихся, задействованных в трудовых объединениях</t>
  </si>
  <si>
    <t>Количество обучающихся, получивших денежное поощрение (премию)</t>
  </si>
  <si>
    <t>Предоставление субсидии на 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</si>
  <si>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Доля обучающихся и спортсменов, охваченных тренировочными сборами в каникулярный период времени</t>
  </si>
  <si>
    <t xml:space="preserve">Количество проведенных физкультурно-спортивных мероприятий 
и соревнований по видам спорта
</t>
  </si>
  <si>
    <t>Количество размещенных анонсов в местах массового пребывания людей и в средствах массовой информации</t>
  </si>
  <si>
    <t>Итого областной (федеральный) бюджет</t>
  </si>
  <si>
    <t>ВСЕГО</t>
  </si>
  <si>
    <t>Количество спортивных клубов</t>
  </si>
  <si>
    <t>Количество земельных участков, поставленных на кадастровый учет КУИ города Снежинска  (в течение года)</t>
  </si>
  <si>
    <t>Удельный вес рабочих мест, на которых проведена специальная оценка условий труда в муниципальных учреждениях (в %)</t>
  </si>
  <si>
    <t>Итого по программе 8</t>
  </si>
  <si>
    <t>Доля обучающихся, обеспеченных питанием, в общем количестве обучающихся</t>
  </si>
  <si>
    <t>Уровень обустройства контейнерных площадок</t>
  </si>
  <si>
    <t>Итого по подпрограмме 1</t>
  </si>
  <si>
    <t xml:space="preserve">Доля спортивных сооружений, обеспеченных системой видеонаблюдения </t>
  </si>
  <si>
    <t>Подпрограмма 2 "Подготовка спортивного резерва и успешное выступление Снежинских  спортсменов  на соревнованиях различного уровня"</t>
  </si>
  <si>
    <t xml:space="preserve">Число проводимых комплексов мероприятий по  проведению текущих ремонтных работ, противопожарных,  энергосберегающих, антитеррористических и иных мероприятий
</t>
  </si>
  <si>
    <t>Количество учреждений, находящихся в ведении УКиМП</t>
  </si>
  <si>
    <t xml:space="preserve">Процент освоения  денежных средств, предусмотренных  на приобретение  коммунальных ресурсов </t>
  </si>
  <si>
    <t xml:space="preserve">Поступления  от перечисления части прибыли государственных и муниципальных  унитарных  предприятий, остающейся  после уплаты  налогов и обязательных платежей </t>
  </si>
  <si>
    <t>Коэфф. достижения индикативного показателя</t>
  </si>
  <si>
    <t>5. Муниципальная Программа «Совершенствование системы управления, поддержка малого и среднего предпринимательства в Снежинском городском округе» на 2020 – 2026 гг.,</t>
  </si>
  <si>
    <t>Количество проектов на реконструкцию объектов транспортной инфраструктуры</t>
  </si>
  <si>
    <t>Единовременная пропускная способность спортивных сооружений от нормативного значения</t>
  </si>
  <si>
    <t>Количество знаков на водных объектах</t>
  </si>
  <si>
    <t>Доля зарегистрированных объектов недвижимого имущества, по отношению к общему  количеству недвижимого имущества, подлежащего  регистрации</t>
  </si>
  <si>
    <t>Количество семей, улучшивших жилищные условия</t>
  </si>
  <si>
    <t>Задача 4 Совершенствование налоговой политики Снежинского городского округа и работы по укреплению собственной доходной базы бюджета округа</t>
  </si>
  <si>
    <t>Исполнение годового плана по налоговым и неналоговым доходам бюджета Снежинского городского округа, %</t>
  </si>
  <si>
    <t>Проведение анализа налоговых расходов от предоставления налоговых льгот (в том числе за счет установления пониженных налоговых ставок) по местным налогам, %</t>
  </si>
  <si>
    <t>Превышение дефицита в рамках ограничений, установленных Бюджетным кодексом</t>
  </si>
  <si>
    <t xml:space="preserve">Работы завершены. Остаток средств в размере - 8 257 567,53  руб. планируется к использованию в 2024 году на завершение мун. контрактов на оказание услуг АО "Трансэнерго" и на проведение работ по благоустройству территории, прилегающей к жилому дому.
</t>
  </si>
  <si>
    <t xml:space="preserve">Многоквартирный жилой дом в г.Снежинске. </t>
  </si>
  <si>
    <t>Площадь муниципального фонда, предоставляемого по договорам найма, кв.м</t>
  </si>
  <si>
    <t>Итого по подпрограмме</t>
  </si>
  <si>
    <t>Доля расходов по подпрограмме в общем объеме полученных средств</t>
  </si>
  <si>
    <t>Количество установок компенсации реактивной мощности к РТП-23/1 на объекте «Магистральные сети электроснабжения жилого поселка №2, расположенного в г.Снежинске Челябинской области»</t>
  </si>
  <si>
    <t xml:space="preserve">Контракты не исполнены.  Подрядчику направлена претензия для выполнения работ по гарантии. Ведется претензионная работа.  Завершение работ по контракту планируется до августа 2024 года.
</t>
  </si>
  <si>
    <t>Предоставление земельных участков на аукционах(га)</t>
  </si>
  <si>
    <t xml:space="preserve">Количество оформленных кадастровых паспортов </t>
  </si>
  <si>
    <t xml:space="preserve">Количество построенных сетей электроснабжения </t>
  </si>
  <si>
    <t>Площадь, приобретенных благоустроенных жилых помещений (квартир) для расселения непригодных, аварийных МКД</t>
  </si>
  <si>
    <t>Количество расселенного непригодного для проживания жилищного фонда</t>
  </si>
  <si>
    <t>Количество жителей, переселенных из непригодных, аварийных МКД</t>
  </si>
  <si>
    <t>Количество молодых семей, получивших социальные выплаты на приобретение (строительство) жилья</t>
  </si>
  <si>
    <t xml:space="preserve">Комплексное благоустройство территории Парка культуры и отдыха в г.Снежинске </t>
  </si>
  <si>
    <t>Работы выполнены и оплачены  в полном объеме. Остаток средств –  81,43 руб. – средства областной субсидии – в целях выравнивания процента софинансирования по соглашению</t>
  </si>
  <si>
    <t>Работы выполнены и оплачены  в полном объеме. Остаток средств –  24,35 руб. – средства местного бюджета. – в целях выравнивания процента софинансирования по соглашению</t>
  </si>
  <si>
    <t>Благоустройство территории лесопарка в микрорайоне №19</t>
  </si>
  <si>
    <t>Благоустройство по объекту: "Гостиница "Снежинска", Челябинская область г. Снежинск          (2 этап)</t>
  </si>
  <si>
    <t>Благоустройство пешеходной зоны на территории бульвара Свердлова</t>
  </si>
  <si>
    <t>Создание комплексной системы обеспечения и онлайн мониторинга общественной безопасности, включая организацию постоянного видеонаблюдения с использованием системы видеоаналитики, в общественной территории Парка культуры и отдыха в городе Снежинске (стандарт «Умный город», прокладка сетей оптико-волоконной связи)</t>
  </si>
  <si>
    <t>Корректировка конкурсной заявки на участие в конкурсе "Формирование комфортной городской среды"</t>
  </si>
  <si>
    <t>Доля общественных территорий, оснащенных камерами видеонаблюдения</t>
  </si>
  <si>
    <t>Итого по Программе 9</t>
  </si>
  <si>
    <t>Доля единиц коммунальной дорожной техники, оборудованных системой спутниковой навигации ГЛОНАСС</t>
  </si>
  <si>
    <t xml:space="preserve">Комплексное благоустройство территории  Парка культуры и отдыха  в г.Снежинске </t>
  </si>
  <si>
    <t>Благоустройство территории лесопарка в микрорайоне № 19</t>
  </si>
  <si>
    <t>Работы выполнены и оплачены  в полном объеме. Остаток средств – 381,23 тыс. руб. – областная субсидия, не законтрактованы.</t>
  </si>
  <si>
    <t>Количество благоустроенных общественных территорий</t>
  </si>
  <si>
    <t xml:space="preserve">Доля общественных территорий, оснащенных камерами видеонаблюдения
</t>
  </si>
  <si>
    <t>Проведение психолого-медико-педагогического обследования и комплекса работ, связанных с сопровождением обучающихся, испытывающих трудности в освоении основных общеобразовательных программ</t>
  </si>
  <si>
    <t>Итого по программе 11</t>
  </si>
  <si>
    <t xml:space="preserve">Предоставление гражданам субсидий на оплату ЖКУ </t>
  </si>
  <si>
    <t xml:space="preserve">Реализация переданных государственных полномочий по социальному обслуживанию граждан          </t>
  </si>
  <si>
    <t>Оплата (приобретение) системы Контур.Экстерн</t>
  </si>
  <si>
    <t>Итого по задаче 4</t>
  </si>
  <si>
    <t>Доля расходов по задаче 1 в общем объеме полученных средств</t>
  </si>
  <si>
    <t>Доля расходов по задаче 2 в общем объеме полученных средств</t>
  </si>
  <si>
    <t>Доля расходов по задаче 3 в общем объеме полученных средств</t>
  </si>
  <si>
    <t>Доля расходов по задаче 4 в общем объеме полученных средств</t>
  </si>
  <si>
    <t xml:space="preserve">Организация в пределах своих полномочий обеспечения сбалансированности местного бюджета </t>
  </si>
  <si>
    <t>Доля расходов бюджета Снежинского городского округа на обслуживание муниципального долга в общем объеме расходов местного бюджета, %</t>
  </si>
  <si>
    <t>Количество устанавливаемых элементов оформления города</t>
  </si>
  <si>
    <t>Пенсии за выслугу лет муниципальным служащим, лицам, осуществлявшим полномочия депутата на профессиональной постоянной основе, полномочия выборного должностного лица местного самоуправления</t>
  </si>
  <si>
    <t>Показатель привязан к средствам, выделяемым по Программе "Развитие образования"</t>
  </si>
  <si>
    <t xml:space="preserve">Количество проведенных массовых физкультурных 
и спортивных мероприятий
</t>
  </si>
  <si>
    <t xml:space="preserve">Количество участников физкультурно-оздоровительных 
и спортивно-массовых мероприятий.
</t>
  </si>
  <si>
    <t xml:space="preserve">Доля граждан, выполняющих нормы ВФСК «ГТО», в общей численности населения, принявшего участие 
в выполнении нормативов ГТО
</t>
  </si>
  <si>
    <t xml:space="preserve">Доля граждан среднего возраста (женщины: 30-54 года; мужчины: 30-59 лет), систематически занимающихся физической культурой и спортом 
в общей численности граждан среднего возраста
</t>
  </si>
  <si>
    <t>Привлечение детей из малообеспеченных, неблагополучных семей, а также семей, оказавшихся в трудной жизненной ситуации, в дошкольные образовательные организации, через предоставление компенсации части родительской платы</t>
  </si>
  <si>
    <t>Доля расходов бюджета Снежинского городского округа, формируемых в рамках программно-целевого метода, в общем объеме расходов бюджета городского округа</t>
  </si>
  <si>
    <t>Доля расходов бюджета Снежинского городского округа в составе муниципальных заданий в общем объеме расходов бюджета городского округа</t>
  </si>
  <si>
    <t>– количество пострадавших в результате несчастных случаев на производстве со смертельным исходом</t>
  </si>
  <si>
    <t>Финансовое обеспечение муниципального задания на оказание муниципальных услуг (выполнение работ) общеобразовательными организациями (обеспечение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</si>
  <si>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Количество дорожно-транспортных происшествий</t>
  </si>
  <si>
    <t>Индекс нового строительства водопроводных сетей (%)</t>
  </si>
  <si>
    <t>Объем реализации товаров и услуг по водоснабжению (тыс. м3)</t>
  </si>
  <si>
    <t>Протяженность противопожарных минерализованных полос</t>
  </si>
  <si>
    <t>Количество обучающихся в общеобразовательных организациях</t>
  </si>
  <si>
    <t>ИТОГО  местный бюджет:</t>
  </si>
  <si>
    <t>Организация трудоустройства несовершеннолетних граждан в возрасте от 14 до 18 лет на временные рабочие места</t>
  </si>
  <si>
    <t>Организация деятельности трудовых объединений</t>
  </si>
  <si>
    <t>рост численности получателей льгот, решение комиссии</t>
  </si>
  <si>
    <t>Итого по подпрограмме 3:</t>
  </si>
  <si>
    <t>&gt;=90</t>
  </si>
  <si>
    <t>&gt;=50</t>
  </si>
  <si>
    <t>Количество субъектов информационного взаимодействия (органов местного самоуправления и их подведомственных учреждений), использующих стандарты безопасного информационного взаимодействия</t>
  </si>
  <si>
    <t>Количество тел, транспортированных от зала траурных обрядов до кладбища</t>
  </si>
  <si>
    <t>2. Муниципальная Программа "Развитие культуры и  реализация молодежной политики в Снежинском городском округе" на 2018 - 2025 гг.</t>
  </si>
  <si>
    <t>6. Муниципальная Программа "Развитие муниципальной службы Снежинского городского округа" на 2019 - 2025 гг.</t>
  </si>
  <si>
    <t>9.  Муниципальная программа "Формирование современной городской среды Снежинского городского округа" на 2018-2025 годы</t>
  </si>
  <si>
    <t>14. Муниципальная Программа  "Содержание городского хозяйства в Снежинском городском округе" на 2019 - 2025 гг.</t>
  </si>
  <si>
    <t>2.  Муниципальная программа "Развитие культуры и реализация молодежной политики в Снежинском городском округе" на 2018-2025гг.</t>
  </si>
  <si>
    <t>Доля детей, прошедших обследование и получивших консультации в городской психолого-медико-педагогической комиссии (ГПМПК) из числа нуждающихся</t>
  </si>
  <si>
    <t>Количество родителей (законных представителей) детей-инвалидов, получающих компенсацию за самостоятельное обучение детей на дому</t>
  </si>
  <si>
    <t>Количество детей из малообеспеченных, неблагополучных семей, а также семей, оказавшихся в трудной жизненной ситуации, привлечённых в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</si>
  <si>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Задача 5. Обеспечение эффективного управления деятельностью муниципальных  предприятий  и хозяйственных обществ  с участием  муниципального  образования "Город Снежинск"</t>
  </si>
  <si>
    <t>Поступления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Российской Федерации или муниципальным образованиям</t>
  </si>
  <si>
    <t>Исполнение плана в виде прибыли, приходящейся на доли в уставных капиталах хозяйственных обществ, или дивидендов по акциям, принадлежащим муниципальному образованию</t>
  </si>
  <si>
    <t>Удельный вес прибыльных  хозяйственных обществ с участием муниципального образования «Город Снежинск» в общем количестве хозяйственных обществ с участием муниципального образования «Город Снежинск»</t>
  </si>
  <si>
    <t>Доходы  от реализованного КУИ города Снежинска  имущества муниципальной  казны, руб.</t>
  </si>
  <si>
    <t>Исполнение плана по доходам от реализованного имущества муниципальной казны, %</t>
  </si>
  <si>
    <t>Прочие налоговые и неналоговые доходы, администрируемые  КУИ города Снежинска (кроме дохода от реализации  имущества  муниципальной казны), руб.</t>
  </si>
  <si>
    <t>Исполнение плана поступлений  налоговых и неналоговых  доходов (кроме поступлений  от реализации  имущества), %</t>
  </si>
  <si>
    <t>Количество договоров аренды земельных участков, заключенных силами  сотрудников  КУИ города Снежинска (за исключением  расторгнутых, прекращенных), шт.</t>
  </si>
  <si>
    <t>Количество действующих договоров аренды и безвозмездного пользования муниципальным имуществом, заключенных КУИ города Снежинска, шт.</t>
  </si>
  <si>
    <t>Количество  объектов  реестра муниципального имущества, ед.</t>
  </si>
  <si>
    <t>Балансовая стоимость муниципального имущества, учтенного в реестре  муниципального имущества, млн.руб.</t>
  </si>
  <si>
    <t>Доля объектов недвижимого имущества, поставленных на кадастровый учет, по отношению к общему количеству объектов  недвижимого  имущества, подлежащего постановке  на государственный кадастровый учет, %</t>
  </si>
  <si>
    <t>Доля земельных участков, местоположение границ которых не установлено, в соответствии с требованиями Закона о регистрации, в общем количестве  земельных участков, право собственности на которые  в соответствии с законодательством  подлежит государственной  регистрации, %</t>
  </si>
  <si>
    <t>Доля  земельных участков под объектами недвижимого  имущества, находящихся в муниципальной  собственности, прошедших государственную  регистрацию права собственности, в общем количестве  земельных участков, право собственности на которые подлежит государственной регистрации, %</t>
  </si>
  <si>
    <t xml:space="preserve">Подпрограмма "Оказание молодым семьям государственной поддержки для улучшения жилищных условий"
</t>
  </si>
  <si>
    <t>Доля средств по подпрограмме в общем объеме полученных средст</t>
  </si>
  <si>
    <t>10. Муниципальная Программа "Энергосбережение и повышение энергетической эффективности на территории Снежинского городского округа" на 2021-2025 гг.</t>
  </si>
  <si>
    <t xml:space="preserve">Итого по программе 10 </t>
  </si>
  <si>
    <t>Приказом МКУ "Финансовое управление Снежинского городского округа" от 28.12.2023 № 89 были уменьшены ассигнования бюджетных обязательста на сумму  691 243,23 руб.</t>
  </si>
  <si>
    <t>Тиражирование информационного наглядного материала по профилактике незаконного оборота наркотиков</t>
  </si>
  <si>
    <t>Количество преступлений, связанных с незаконным оборотом наркотиков, выявленных правоохранительными органами</t>
  </si>
  <si>
    <t>Количество административных правонарушений, связанных с незаконным оборотом наркотиков, выявленных правоохранительными органами</t>
  </si>
  <si>
    <t>Организация и проведение  физкультурных и массовых спортивных мероприятий, включенных в единый календарный план физкультурных и спортивных мероприятий</t>
  </si>
  <si>
    <t>Организация и проведение физультурных и спортивных мероприятий в рамках Всероссийского физкультурно-спортивного комплекса "Готов к труду и обороне" (ГТО)</t>
  </si>
  <si>
    <t>Содержание спортивных объектов и материально-техническое обеспечение</t>
  </si>
  <si>
    <t xml:space="preserve">Пропаганда физической культуры, массового спорта и здорового образа жизни </t>
  </si>
  <si>
    <t xml:space="preserve"> Реализация программ спортивной подготовки</t>
  </si>
  <si>
    <t>Организация и проведение спортивно-оздоровительной работы по развитию физической культуры и спорта</t>
  </si>
  <si>
    <t>Содержание имущества, находящегося в муниципальной собственности</t>
  </si>
  <si>
    <t>Реконструкция спортивных площадок открытого типа на территории стадиона им.Ю.А.Гагарина</t>
  </si>
  <si>
    <t>Капитальный ремонт  футбольной трибуны на стадионе им.Ю.А.Гагарина</t>
  </si>
  <si>
    <t xml:space="preserve"> Обеспечение деятельности МКУ "Управление физической культуры и спорта администрации Снежинского городского округа"</t>
  </si>
  <si>
    <t>Получено отрицательное заключение государственной экспертизы, работы не начаты. Ведется отработка замечаний (работы по переводу категории лесных насаждений). 
  Освоение на 01 января 2024 года – 36 288,48 руб. 
 Остаток средств – 84 863 780 руб.</t>
  </si>
  <si>
    <t>Предоставление субсидий бюджетному учреждению на финансовое обеспечение программного и информационного сопровождения, обслуживание оргтехники для органов местного самоуправления и органов управления, Администрации</t>
  </si>
  <si>
    <t xml:space="preserve">Предоставление субсидий бюджетному учреждению на осуществление издательской деятельности </t>
  </si>
  <si>
    <t>Доля защищенных рабочих мест с доступом к государственным и региональным информационным системам, системам межведомственного электронного взаимодействия</t>
  </si>
  <si>
    <t>Количество выпущенных номеров печатного издания</t>
  </si>
  <si>
    <t>Число посещений организаций культуры</t>
  </si>
  <si>
    <t>Количество педагогов, принявших участие в очных конкурсах профессионального мастерства</t>
  </si>
  <si>
    <t>Удельный вес  прибыльных  мунициапальных унитарных предприятий в общем количестве муниципальных  унитарных предприятий</t>
  </si>
  <si>
    <t>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</t>
  </si>
  <si>
    <t>Доля несовершеннолетних, состоящих на профилактическом учете в органах внутренних дел, принявших участие в профильных сменах, от общего числа обучающихся общеобразовательных организаций, состоящих на профилактическом учете в органах внутренних дел, по состоянию на 31 августа текущего финансового года</t>
  </si>
  <si>
    <t xml:space="preserve">Модернизация индивидуальных тепловых пунктов УСК и Дворца спорта. Система автоматического регулирования температуры в контуре отопления в здании АБК по адресу: 
г. Снежинск, ул. 40 лет Октября, 37 к. 1
</t>
  </si>
  <si>
    <t xml:space="preserve">Модернизация индивидуальных тепловых пунктов УСК и Дворца спорта. Система автоматического регулирования температуры в контуре отопления в здании УСК по адресу: 
г. Снежинск, ул. 40 лет Октября, 37 к. 2
</t>
  </si>
  <si>
    <t xml:space="preserve">Замена деревянных оконных блоков на современные стеклопакеты в образовательных учреждениях города Снежинска
МБДОУ № 4
</t>
  </si>
  <si>
    <t xml:space="preserve">Замена деревянных оконных блоков на современные стеклопакеты в образовательных учреждениях города Снежинска
МБДОУ № 6
</t>
  </si>
  <si>
    <t xml:space="preserve">Замена деревянных оконных блоков на современные стеклопакеты в образовательных учреждениях города Снежинска
МБДОУ № 27
</t>
  </si>
  <si>
    <t xml:space="preserve">Замена деревянных оконных блоков на современные стеклопакеты в образовательных учреждениях города Снежинска
МБДОУ № 28
</t>
  </si>
  <si>
    <t xml:space="preserve">Замена деревянных оконных блоков на современные стеклопакеты в образовательных учреждениях города Снежинска
МАДОУ № 30
</t>
  </si>
  <si>
    <t xml:space="preserve">Замена деревянных оконных блоков на современные стеклопакеты в образовательных учреждениях города Снежинска
МБОУ СОШ № 121
</t>
  </si>
  <si>
    <t xml:space="preserve">Замена деревянных оконных блоков на современные стеклопакеты в образовательных учреждениях города Снежинска
МБОУ СОШ № 126
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</si>
  <si>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</si>
  <si>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экономия,сложившаяся по результатам проведения конкурсных процедур</t>
  </si>
  <si>
    <t>Приобретение наглядных материалов в целях формирования здорового образа жизни детей дошкольного возраста в муниципальных образовательных организациях, реализующих образовательные программы дошкольного образования</t>
  </si>
  <si>
    <t>Предоставление субсидии на обеспечение молоком (молочной продукцией) обучающихся по образовательным программам начального общего образования</t>
  </si>
  <si>
    <t>Выплата компенсации затрат родителей (законных представителей) детей-инвалидов, в том числе достигнувшими совершеннолетия и имеющих статус инвалида, в части организации обучения по основным общеобразовательным программам на дому, в том числе по адаптированным образовательным программам общего образования, в форме семейного образования и самообразования</t>
  </si>
  <si>
    <t>Площадь территорий, подлежащих акарицидной обработке</t>
  </si>
  <si>
    <t>Количество мемориальных комплексов на обслуживании</t>
  </si>
  <si>
    <t>Площадь мест захоронения</t>
  </si>
  <si>
    <t>Количество тел умерших, подлежащих транспортировке с места смерти</t>
  </si>
  <si>
    <t>Количество гражданских панихид</t>
  </si>
  <si>
    <t>Итого по Программе 21</t>
  </si>
  <si>
    <t>Количество  сотрудников администрации, органов управлений и подведомственных учреждений, участвовавших в семинарах, форумах, курсах и других мероприятиях по вопросам поддержки СОНКО</t>
  </si>
  <si>
    <t>Подрограмма 1 "Содержание инфраструктуры городского хозяйства"</t>
  </si>
  <si>
    <t>Организация регулярных пассажирских перевозок населения городским транспортом общего пользования по регулируемым тарифам на внутримуниципальных маршрутах</t>
  </si>
  <si>
    <t>Количество объектов, внесенных во Всероссийский реестр объектов спорта</t>
  </si>
  <si>
    <t>2.3 Реализация программ спортивной подготовки</t>
  </si>
  <si>
    <t>Показатели</t>
  </si>
  <si>
    <t>план</t>
  </si>
  <si>
    <t>факт</t>
  </si>
  <si>
    <t>отклонение (+,-)</t>
  </si>
  <si>
    <t>Площадь муниципального жилого фонда, находящегося на содержании</t>
  </si>
  <si>
    <t>Количество аварийно-опасных деревьев, подлежащих вырубке</t>
  </si>
  <si>
    <t>Площадь отводимых лесосек</t>
  </si>
  <si>
    <t>Площадь лесов, подлежащих уходу, лесовосстановлению и лесоразведению</t>
  </si>
  <si>
    <t>Обустройство пешеходных переходов на территории Снежинского городского округа</t>
  </si>
  <si>
    <t>Водовод в жилом районе "Поселок Сокол" (в т.ч. проектно-изыскательские работы)</t>
  </si>
  <si>
    <t>Количество фонтанных установок на обслуживании</t>
  </si>
  <si>
    <t>да</t>
  </si>
  <si>
    <t>Доля муниципальных служащих, прошедших повышение квалификации, переподготовку и стажировку, % от общего числа (139 чел.)</t>
  </si>
  <si>
    <t>Степень соответствия нормативной правовой базы по вопросам муниципальной службы законодательству Российской Федерации и Челябинской области, в процентах от общего количества принятых муниципальных правовых актов по вопросам муниципальной службы ,%</t>
  </si>
  <si>
    <t>Итого по  Программе 2.</t>
  </si>
  <si>
    <t>Итого по Программе 5</t>
  </si>
  <si>
    <t>Итого по Программе 6</t>
  </si>
  <si>
    <t>Итого по Программе 8</t>
  </si>
  <si>
    <t>Итого по Программе 13</t>
  </si>
  <si>
    <t>Итого по программе 14:</t>
  </si>
  <si>
    <t>Итого по Программе 15</t>
  </si>
  <si>
    <t>Итого по Программе 17</t>
  </si>
  <si>
    <t>Итого по Программе 7.</t>
  </si>
  <si>
    <t>Итого по Программе 18</t>
  </si>
  <si>
    <t>&lt;=50</t>
  </si>
  <si>
    <t>Количество дорожных знаков на содержании</t>
  </si>
  <si>
    <t>Протяженность дорожных ограждений на содержании</t>
  </si>
  <si>
    <t>Льгота суммы родительской платы за путевки в загородные лагеря и лагеря с дневным пребыванием для детей, находящихся в трудной жизненной ситуации</t>
  </si>
  <si>
    <t>Предоставление субсидии на организацию профильных смен для детей, состоящих на профилактическом учете</t>
  </si>
  <si>
    <t>Модернизация индивидуальных тепловых пунктов УСК и Дворца спорта. Система автоматического регулирования температуры в контуре отопления в здании УСК и Дворца спорта по адресу: г. Снежинск, ул. 40 лет Октября, 37 к.1, к. 2</t>
  </si>
  <si>
    <t>Мероприятия, направленные на энергосбережение и повышение энергетической эффективности использования энергетических ресурсов при эксплуатации объектов наружного освещения на территории Снежинского городского округа</t>
  </si>
  <si>
    <t>Капитальный ремонт ул. Широкая: устройство недостающего электрического освещения (в т.ч. Проектно-изыскательские работы)</t>
  </si>
  <si>
    <t>Остаток средств – 16380,64  руб. – не законтрактованы.</t>
  </si>
  <si>
    <t xml:space="preserve">Актуализация Схемы теплоснабжения ЗАТО г. Снежинск на период с 2013 по 2027 </t>
  </si>
  <si>
    <t xml:space="preserve">Актуализация Схемы водоснабжения и водоотведения муниципального образования «Город Снежинск» на период 
с 2014 по 2030
</t>
  </si>
  <si>
    <t>Количество построенных линий наружного освещения</t>
  </si>
  <si>
    <t xml:space="preserve">Замена деревянных оконных блоков на современные стеклопакеты в образовательных учреждениях города Снежинска МБДОУ № 4
</t>
  </si>
  <si>
    <t xml:space="preserve">Замена деревянных оконных блоков на современные стеклопакеты в образовательных учреждениях города Снежинска МБДОУ № 6
</t>
  </si>
  <si>
    <t xml:space="preserve">Замена деревянных оконных блоков на современные стеклопакеты в образовательных учреждениях города Снежинска МБДОУ № 27
</t>
  </si>
  <si>
    <t xml:space="preserve">Замена деревянных оконных блоков на современные стеклопакеты в образовательных учреждениях города Снежинска МБДОУ № 28
</t>
  </si>
  <si>
    <t xml:space="preserve">Замена деревянных оконных блоков на современные стеклопакеты в образовательных учреждениях города Снежинска МАДОУ № 30
</t>
  </si>
  <si>
    <t xml:space="preserve">Замена деревянных оконных блоков на современные стеклопакеты в образовательных учреждениях города Снежинска МБОУ СОШ № 121
</t>
  </si>
  <si>
    <t xml:space="preserve">Замена деревянных оконных блоков на современные стеклопакеты в образовательных учреждениях города Снежинска МБОУ СОШ № 126
</t>
  </si>
  <si>
    <t>Владение, пользование и распоряжение имуществом, находящимся в муниципальной собственности (ТО и ТР)</t>
  </si>
  <si>
    <t>Оплата за декабрь 2023 года будет произведена в 2024 году</t>
  </si>
  <si>
    <t>Количество контейнеров для сбора мусора на береговой полосе озера Синара</t>
  </si>
  <si>
    <t>Благоустройство территорий</t>
  </si>
  <si>
    <t xml:space="preserve">Транспортировка тел умерших с места смерти до ПАК ЦМСЧ-15, проведение гражданской панихиды, предоставление катафалка, содержание кладбищ </t>
  </si>
  <si>
    <t xml:space="preserve">Организация содержания и ремонта муниципального жилищного фонда </t>
  </si>
  <si>
    <t xml:space="preserve">Проведение ухода за лесами, осуществление лесовосстановления и лесоразведения  </t>
  </si>
  <si>
    <t>Содержание улично-дорожной сети, уходные работы за зелеными насаждениями, содержание дорожных ограждений, содержание дорожных знаков. Содержание и текущий ремонт сети ливневой канализации, содержание снежной свалки, содержание контейнерных площадок, содержание фонтана у кин."Космос"</t>
  </si>
  <si>
    <t>Количество снежных свалок на содержании</t>
  </si>
  <si>
    <t xml:space="preserve">Обеспечение субсидиарной ответственности </t>
  </si>
  <si>
    <t>Количество субсидий, предоставляемых МКП «Энергетик», МП "Снежинские бани"</t>
  </si>
  <si>
    <t>Обеспечение деятельности МКУ "СЗСР"</t>
  </si>
  <si>
    <t>Обеспечение деятельности МКУ "УГХ СГО"</t>
  </si>
  <si>
    <t>Обеспечение необходимыми услугами и материалами сотрудников МКУ "СЗСР"</t>
  </si>
  <si>
    <t xml:space="preserve">  6. «Содержание городского хозяйства в Снежинском городском округе» на 2019 - 2025 гг.</t>
  </si>
  <si>
    <t>Количество социально значимых проектов, реализованных на территории Снежинского городского округа</t>
  </si>
  <si>
    <t>Соотношение количества массовых спортивных разрядов, присвоенных учащимся и спортсменам СШ и СШОР, к общему количеству занимающихся</t>
  </si>
  <si>
    <t>Доля спортсменов-разрядников в общем количестве лиц, занимающихся в системе СШОР и СШ</t>
  </si>
  <si>
    <t>Индекс прироста нагрузки на водоснабжение (%)</t>
  </si>
  <si>
    <t>Перебои в снабжении потребителей (час/чел)</t>
  </si>
  <si>
    <t>Стимулирование (поощрение) граждан и членов общественного формирования правоохранительной направленности, оказывающих содействие органам внутренних дел в охране общественного порядка и борьбы   с преступностью,               а также обеспечение форменным обмундированием, удостоверениями и т.д.)</t>
  </si>
  <si>
    <t>Финансовое обеспечение деятельности Управления образования</t>
  </si>
  <si>
    <t>Организация и проведение мероприятий, посвященных Дню российского предпринимательства</t>
  </si>
  <si>
    <t>Доля спортсменов-разрядников, имеющих разряды и звания (от 1 разряда до спортивного звания «Заслуженный мастер спорта») в общем количестве лиц, занимающихся в системе СШОР и СШ</t>
  </si>
  <si>
    <t>Количество подготовленных спортсменов – КМС, МС</t>
  </si>
  <si>
    <t>Количество тренеров (тренеров-преподавателей), прошедших через систему повышения квалификации</t>
  </si>
  <si>
    <t>Администрация</t>
  </si>
  <si>
    <t>КСП</t>
  </si>
  <si>
    <t>Итого по Программе 3</t>
  </si>
  <si>
    <t>8. Муниципальная Программа  "Социальная поддержка жителей  Снежинского городского округа" на 2023 - 2026 гг.</t>
  </si>
  <si>
    <t>Финансовое обеспечение деятельности управления по реализации полномочий органов местного самоуправления и переданных государственных полномочий</t>
  </si>
  <si>
    <t>Капитальный ремонт объекта муниципальной собственности (здание МУ «КЦСОН)</t>
  </si>
  <si>
    <t>Доля объема выплаченных сумм на меры социальной поддержки от объема начисленных сумм на меры социальной поддержки по состоянию на 31 декабря 2023, 2024, 2025, 2026 годы</t>
  </si>
  <si>
    <t>Количество граждан, получивших пенсии за выслугу лет (муниципальные служащие, лица, осуществляющие полномочия депутата на постоянной основе, полномочия выборного лица местного самоуправления)</t>
  </si>
  <si>
    <t>Доля освоенных финансовых средств</t>
  </si>
  <si>
    <t>Доля расходов по подпрограмме 2 в общем объеме полученных средств</t>
  </si>
  <si>
    <t>Подпрограмма 1 "Предоставление мер социальной поддержки льготным категориям граждан, создание благоприятных условий для улучшения положения детей и семей с детьми  (государственные полномочия)</t>
  </si>
  <si>
    <t>5. Муниципальная Программа "Социальная поддержка жителей Снежинского городского округа" на 2023 - 2026гг.</t>
  </si>
  <si>
    <t>Задача 1 Подпрограммы 1"Создание условий для личностного роста детей-сирот и детей, оставшихся без попечения родителей, улучшение качества их жизни"</t>
  </si>
  <si>
    <t>Социальная поддержка детей-сирот и детей, оставшихся без попечения родителей находящихся в МКУСО «Центр помощи детям», организация деятельности учреждения</t>
  </si>
  <si>
    <t>Доля выпускников организаций для детей-сирот и детей, оставшихся без попечения родителей, поступивших в образовательные организации для получения профессионального образования, от общей численности выпускников организаций для детей-сирот и детей, оставшихся без попечения родителей</t>
  </si>
  <si>
    <t>Задача 2 Подпрограммы 1 "Создание благоприятных условий для улучшения положения детей и семей с детьми"</t>
  </si>
  <si>
    <t>Содержание ребенка в семье опекуна и приемной семье (ежемесячная выплата)</t>
  </si>
  <si>
    <t>Вознаграждение причитающееся приемному родителю (ежемесячная выплата)</t>
  </si>
  <si>
    <t>В решении о бюджете не в полном объеме учтены корректировки по МБТ (-748220,0 руб.)</t>
  </si>
  <si>
    <t xml:space="preserve">Региональный проект «Финансовая поддержка семей при рождении ребенка», выплата областного единовременного пособия при рождении ребенка </t>
  </si>
  <si>
    <t>В решении о бюджете не в полном объеме учтены корректировки по МБТ (-59 600 руб.)</t>
  </si>
  <si>
    <t xml:space="preserve">Выплата ежемесячного пособия на ребенка </t>
  </si>
  <si>
    <t xml:space="preserve">Ежемесячная денежная выплата на оплату жилья и коммунальных услуг многодетной семье </t>
  </si>
  <si>
    <t>В решении о бюджете не в полном объеме учтены корректировки по МБТ (-19 000 руб.)</t>
  </si>
  <si>
    <t>В решении о бюджете не в полном объеме учтены корректировки по МБТ (-103 000 руб.)</t>
  </si>
  <si>
    <t>Доля семей, имеющих детей, которым предоставляются меры социальной поддержки, в общем числе семей с детьми, имеющих право на меры социальной поддержки</t>
  </si>
  <si>
    <t>Количество опекунов, получивших ежемесячные выплаты</t>
  </si>
  <si>
    <t>Количество приемных родителей, получивших ежемесячные выплаты</t>
  </si>
  <si>
    <t>Количество семей, получившие ежемесячное пособие на ребенка</t>
  </si>
  <si>
    <t>Удельный вес многодетных семей, получающих субсидии на оплату жилого помещения и коммунальных услуг, в общем количестве семей, обратившихся за назначением субсидии и имеющих право на ее назначение на территории Снежинского городского округа</t>
  </si>
  <si>
    <t>Задача 3 Подпрограммы 1 "Оказание дополнительных мер социальной поддержки и социальной помощи отдельным категориям граждан, проживающих на территории Снежинского городского округа"</t>
  </si>
  <si>
    <t xml:space="preserve">Ежемесячная денежная выплата ветеранам Челябинской области        </t>
  </si>
  <si>
    <t xml:space="preserve">Осуществление мер социальной поддержки граждан работающих и проживающих в сельских населенных пунктах и рабочих поселках Челябинской области </t>
  </si>
  <si>
    <t xml:space="preserve">Ежемесячная денежная выплата ветеранам труда Челябинской области </t>
  </si>
  <si>
    <t xml:space="preserve">Меры социальной поддержки детей погибших участников Великой Отечественной войны и лиц, приравненных к ним (ежемесячное социальное пособие и возмещение расходов, связанных с проездом к месту захоронения и обратно) </t>
  </si>
  <si>
    <t>Компенсация расходов на оплату жилых помещений и коммунальных услуг (дополнительные меры социальной поддержки отдельных категорий граждан)</t>
  </si>
  <si>
    <t>Количество победителей и призеров областных, всероссийских и международных соревнований в общей численности обучающихся и спортсменов ДЮСШ, СШ и СШОР</t>
  </si>
  <si>
    <t>Количество СОНКО, зарегистрированных и осуществляющих деятельность на территории Снежинского городского округа, подавших заявки на участие в конкурсах на предоставление грантов на развитие гражданского общества различных уровней</t>
  </si>
  <si>
    <t>Предоставление финансовой поддержки в виде субсидий из бюджета Снежинского городского округа СОНКО ветеранов и СОНКО инвалидов, осуществляющим в соответствии с учредительными документами виды деятельности, определенные статьей 31.1</t>
  </si>
  <si>
    <t>Финансовые средства на проведение конкурса не выделялись</t>
  </si>
  <si>
    <t>Количество цветочной рассады, подлежащей высадке</t>
  </si>
  <si>
    <t>Площадь объектов благоустройства, находящихся на содержании</t>
  </si>
  <si>
    <t>5=3/2</t>
  </si>
  <si>
    <t>9=5/8</t>
  </si>
  <si>
    <t xml:space="preserve">доля расходов по данному направлению в общем объеме полученных средств </t>
  </si>
  <si>
    <t>Причины отклонений</t>
  </si>
  <si>
    <t>Использование средств бюджета,   рублей</t>
  </si>
  <si>
    <t>8=7/6</t>
  </si>
  <si>
    <t>Областной (федеральный) бюджет</t>
  </si>
  <si>
    <t xml:space="preserve">Достижение индикативных показателей за отчетный 
год         </t>
  </si>
  <si>
    <t>Итого по Программе 1</t>
  </si>
  <si>
    <t xml:space="preserve">Итого по программе 16 </t>
  </si>
  <si>
    <t>Итого по Программе 19:</t>
  </si>
  <si>
    <t xml:space="preserve">Итого по программе 20 </t>
  </si>
  <si>
    <t>Итого по программе 22:</t>
  </si>
  <si>
    <t>Итого по Программе 12</t>
  </si>
  <si>
    <t>Продолжительность оказания услуги (часов в сутки)</t>
  </si>
  <si>
    <t>Удельный вес проб воды у потребителя, которые не отвечают гигиеническим нормативам по санитарно-химическим показателям (%)</t>
  </si>
  <si>
    <t>Удельный вес проб воды у потребителя, которые не отвечают гигиеническим нормативам по микробиологическим  показателям (%)</t>
  </si>
  <si>
    <t>Оказание услуг по присмотру и уходу за детьми в ДОУ, содержание зданий муниципальных дошкольных образовательных организаций</t>
  </si>
  <si>
    <t xml:space="preserve">Организация и проведение конкурсов для субъектов МСП и физических лиц, применяющих специальный налоговый режим
</t>
  </si>
  <si>
    <t>&gt;=95</t>
  </si>
  <si>
    <t>3. Муниципальная Программа "Развитие образования в Снежинском городском округе" на 2023 - 2030 гг.</t>
  </si>
  <si>
    <t xml:space="preserve">4. Муниципальная Программа «Развитие физической культуры и спорта в Снежинском городском округе» на 2018-2026 гг. </t>
  </si>
  <si>
    <t>7. Муниципальная программа "Управление муниципальным имуществом и земельными ресурсами Снежинского городского округа" на 2019-2026 гг.</t>
  </si>
  <si>
    <t>8. Муниципальная Программа "Формирование современной городской среды Снежинского городского округа" на 2018-2025 годы</t>
  </si>
  <si>
    <t>Площадь отремонтированных пешеходных дорожек</t>
  </si>
  <si>
    <t>Площадь устроенных пешеходных дорожек</t>
  </si>
  <si>
    <t>Площадь отремонтированных тротуаров</t>
  </si>
  <si>
    <t>Количество столбиков</t>
  </si>
  <si>
    <t>Протяженность установленных ограждений</t>
  </si>
  <si>
    <t>Подпрограмма 3 «Организация деятельности муниципальными учреждениями (предприятиями)»</t>
  </si>
  <si>
    <t>Обеспечение необходимыми услугами и материалами сотрудников МКУ "УГХ СГО"</t>
  </si>
  <si>
    <t>Подпрограмма 1 «Содержание инфраструктуры городского хозяйства»</t>
  </si>
  <si>
    <t>Организация и проведение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</si>
  <si>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Количество безнадзорных животных, подвергнутых отлову</t>
  </si>
  <si>
    <t>Количество мероприятий, проведенных в приюте</t>
  </si>
  <si>
    <t>Протяженность отремонтированных автодорог (ремонт асфальтобетонного покрытия)</t>
  </si>
  <si>
    <t>Организация освещения улиц</t>
  </si>
  <si>
    <t>Уходные работы за насаждениями</t>
  </si>
  <si>
    <t>Содержание, текущий ремонт объектов внешнего благоустройства</t>
  </si>
  <si>
    <t xml:space="preserve">Содержание и  ремонт автодорог </t>
  </si>
  <si>
    <t>УСЗН города Снежинска</t>
  </si>
  <si>
    <t>администрация</t>
  </si>
  <si>
    <t>Контрольно-счетная палата</t>
  </si>
  <si>
    <t>КУИ города Снежинска</t>
  </si>
  <si>
    <t>Доля муниципальных служащих, прошедших диспансеризацию, в процентах от общего количества муниципальных служащих</t>
  </si>
  <si>
    <t xml:space="preserve">Компенсация расходов за пользование услугами связи (дополнительные меры социальной поддержки отдельных категорий граждан) </t>
  </si>
  <si>
    <t xml:space="preserve">Возмещение стоимости услуг по погребению и выплата социального пособия на погребение </t>
  </si>
  <si>
    <t xml:space="preserve">Компенсация расходов на уплату взноса на капитальный ремонт общего имущества в многоквартирном доме отдельным категориям граждан </t>
  </si>
  <si>
    <t xml:space="preserve">Предоставление мер социальной поддержки реабилитированных лиц и лиц, признанных пострадавшими от политических репрессий (ежемесячная денежная выплата) </t>
  </si>
  <si>
    <t xml:space="preserve">Ежегодная денежная выплата лицам, награжденным нагрудным знаком «Почетный донор» </t>
  </si>
  <si>
    <t>В решении о бюджете не в полном объеме учтены корректировки по МБТ (-610 500 руб.)</t>
  </si>
  <si>
    <t>В решении о бюджете не в полном объеме учтены корректировки по МБТ (+59 350,0 руб.)</t>
  </si>
  <si>
    <t>В решении о бюджете не в полном объеме учтены корректировки по МБТ (-13 000,0 руб.)</t>
  </si>
  <si>
    <t>В решении о бюджете не в полном объеме учтены корректировки по МБТ (-9 000 руб.)</t>
  </si>
  <si>
    <t>В решении о бюджете не в полном объеме учтены корректировки по МБТ (+5 300,0 руб.)</t>
  </si>
  <si>
    <t>Заявительный характер выплат</t>
  </si>
  <si>
    <t>В решении о бюджете не в полном объеме учтены корректировки по МБТ                          (-1 359 600 руб.)</t>
  </si>
  <si>
    <t>В решении о бюджете не в полном объеме учтены корректировки по МБТ (-23 510 руб.)</t>
  </si>
  <si>
    <t>Доля объема выплаченных сумм на меры социальной поддержки от объема начисленных сумм на меры социальной поддержки по состоянию на 31.12.2023, 2024, 2025, 2026 годы</t>
  </si>
  <si>
    <t>Количество граждан, получивших ежемесячные денежные выплаты по ЗЧО от 30.11.2004 № 327-ЗО</t>
  </si>
  <si>
    <t>Количество граждан, получивших меры социальной поддержки                 по ЗЧО от 18.12.2014                 № 88-ЗО</t>
  </si>
  <si>
    <t>Количество граждан, получивших ежемесячные денежные выплаты по ЗЧО от 29.11.2007 № 220-ЗО</t>
  </si>
  <si>
    <t>Количество граждан получивших компенсацию расходов ЖКУ по ЗЧО                  от 14.02.1996 № 16-ОЗ</t>
  </si>
  <si>
    <t>Количество граждан получивших компенсацию расходов услуг связи по ЗЧО от 14.02.1996 № 16-ОЗ</t>
  </si>
  <si>
    <t>Количество граждан получивших возмещение стоимости услуг по погребению, социальное пособие на погребение</t>
  </si>
  <si>
    <t>Количество граждан получивших компенсацию расходов на уплату взноса на капитальный ремонт в многоквартирном доме</t>
  </si>
  <si>
    <t>Количество граждан получивших субсидии на оплату ЖКУ</t>
  </si>
  <si>
    <t>Количество граждан, получивших меры социальной поддержки по ЗЧО от 28.10.2004                       № 282-ЗО</t>
  </si>
  <si>
    <t>Отдельные категории граждан, получившие оплату жилищно-коммунальных услуг</t>
  </si>
  <si>
    <t>Количество граждан, награжденных нагрудным знаком «Почетный донор» получивших ежегодную денежную выплату</t>
  </si>
  <si>
    <t>Задача 4 Подпрограммы 1 "Увеличение объема и повышение качества социальных услуг, оказываемых гражданам, совершенствование системы социального обслуживания"</t>
  </si>
  <si>
    <t>Доля граждан, получивших социальные услуги в учреждениях социального обслуживания населения, от общего числа граждан, обратившихся за получением социальных услуг в учреждения социального обслуживания населения</t>
  </si>
  <si>
    <t>Уровень удовлетворенности услугами в сфере социального обслуживания</t>
  </si>
  <si>
    <t>Отношение средней заработной платы социальных работников, включая социальных работников медицинских организаций, к среднемесячному доходу от трудовой деятельности по Челябинской области</t>
  </si>
  <si>
    <t>Задача 5 Подпрограммы 1 "Обеспечение деятельности  Управления по реализации на территории Снежинского городского округа переданных государственных полномочий"</t>
  </si>
  <si>
    <t xml:space="preserve">Финансовое обеспечение и создание условий для стабильного предоставления мер социальной поддержки гражданам Снежинского городского округа </t>
  </si>
  <si>
    <t>В решении о бюджете не в полном объеме учтены корректировки по МБТ</t>
  </si>
  <si>
    <t xml:space="preserve">ИТОГО по Программе 5  </t>
  </si>
  <si>
    <t>Количество объектов  муниципальной  казны, не участвующих в хозяйственном  обороте</t>
  </si>
  <si>
    <t>Итого по задаче 1</t>
  </si>
  <si>
    <t>Итого по задаче 3</t>
  </si>
  <si>
    <t>Нагрузка на водоснабжение (тыс. м3/сут.)</t>
  </si>
  <si>
    <t>Прирост нагрузки на водоснабжение (тыс. м3/сут.)</t>
  </si>
  <si>
    <t>Задача 1 Организация и осуществление мероприятий по гражданской обороне, защите населения и территорий городского округа от чрезвычайных ситуаций природного и техногенного характера.</t>
  </si>
  <si>
    <t>Количество организованных пешеходных переходов</t>
  </si>
  <si>
    <t xml:space="preserve">Количество представленных в Министерство строительства и инфраструктуры Челябинской области лучших реализованных проектов по благоустройству дворовых территорий многоквартирных домов (мест массового отдыха населения (городских парков), общественных территорий) </t>
  </si>
  <si>
    <t>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</t>
  </si>
  <si>
    <t>Количество используемых специализированных технических средств оповещения и информирования населения в местах массового пребывания людей (информационный экран)</t>
  </si>
  <si>
    <t xml:space="preserve">Коэффициент готовности (в процентах)                                    к использованию систем оповещения населения об опасностях, возникающих при ведении военных действий или вследствие этих действий, возникновении чрезвычайных ситуаций природного и техногенного характера. </t>
  </si>
  <si>
    <t xml:space="preserve">Количество поддерживаемых в состоянии постоянной готовности к использованию: </t>
  </si>
  <si>
    <t xml:space="preserve"> -уличных громкоговорителей</t>
  </si>
  <si>
    <t xml:space="preserve"> -электросирен</t>
  </si>
  <si>
    <t xml:space="preserve">Коэффициент функциональной и технической работоспособности органа повседневного управления Снежинского звена РСЧС:
- единая дежурно-диспетчерская служба Снежинского городского округа (ЕДДС г. Снежинска).
</t>
  </si>
  <si>
    <t>Финансовое обеспечение получения дополнительного образования во Дворце творчества</t>
  </si>
  <si>
    <t>Обеспечение функционирования системы персонифицированного финансирования дополнительного образования детей</t>
  </si>
  <si>
    <t>Выплата единовременной материальной помощи молодым специалистам образовательных организаций</t>
  </si>
  <si>
    <t>Проведение конкурсов профессионального мастерства, обеспечение участия работников в областных и российских конкурсах профессионального мастерства</t>
  </si>
  <si>
    <t>Проведение различных мероприятий муниципального уровня, обеспечение участия обучающихся в областных, российских и международных мероприятиях</t>
  </si>
  <si>
    <t>Работы по благоустройству территорий образовательных организаций</t>
  </si>
  <si>
    <t>невозможность заключения государственного контракта по итогам конкурса в связи с отсутствием претендентов (поставщиков, подрядчиков, исполнителей)
Проведение ремонтных работ колоннады МБОУ СОШ № 135 (по адресу г. Снежинск, ул. Нечая, д. 5)</t>
  </si>
  <si>
    <t>Проведение текущих ремонтов и противопожарных мероприятий в образовательных организациях</t>
  </si>
  <si>
    <t>Проведение капитальных ремонтов образовательных организациях, разработка проектно-сметной документации (ПСД)</t>
  </si>
  <si>
    <t>Обеспечение безопасности образовательных организаций (антитеррористические мероприятия)</t>
  </si>
  <si>
    <t>Количество информационных систем обеспечения типовой деятельности</t>
  </si>
  <si>
    <t>9. Муниципальная Программа "Комплексное развитие систем коммунальной инфраструктуры  Снежинского городского округа" на 2017-2026 гг.</t>
  </si>
  <si>
    <t>По результатам получения выписки из Государственного Лесного Реестра Челябинской области, сделан вывод о нецелесообразности проведения корректировки в части уменьшения объемов работ (участок от ул. Строителей до перспективной развязки с ул. Фурманова), поскольку Выписка дается на земельный участок в целом, а категория лесных насаждений не позволяет реконструировать дорогу. 
Освоение на 01 января 2024 года –         1 905 822,33 руб.
 Остаток средств – 4 000,00 тыс. руб.</t>
  </si>
  <si>
    <t>Освоение на 01 января 2024 года            5 587 299,41 руб.
Остаток средств – 412700,59 руб., в т.ч.:
- 266033,92 руб. – экономия по факту выполненных работ,
- 146666,67 руб.  – не законтрактованы.</t>
  </si>
  <si>
    <t>Организация проведения оценки муниципального имущества с целью приватизации, передачи в аренду</t>
  </si>
  <si>
    <t>Организация и проведение технической инвентаризации и паспортизации муниципального имущества</t>
  </si>
  <si>
    <t>Организация проведения кадастровых работ по формированию земельных участков и проведения работ по описанию местоположения  территориальных зон</t>
  </si>
  <si>
    <t>Численность детей школьного возраста, охваченных отдыхом и оздоровлением в загородных лагерях, чел.</t>
  </si>
  <si>
    <t>Количество трудоустроенных несовершеннолетних граждан в возрасте от 14 до 18 лет на временные рабочие места, чел.</t>
  </si>
  <si>
    <t>Уменьшение потерь воды в сети системы водоснабжения (%)</t>
  </si>
  <si>
    <t>Итого по Программе 10</t>
  </si>
  <si>
    <t>Количество благоустроенных общественных территорий.</t>
  </si>
  <si>
    <t>Итого по подпрограмме 1:</t>
  </si>
  <si>
    <t>Подпрограмма «Оказание молодым семьям государственной поддержки для улучшения жилищных условий»</t>
  </si>
  <si>
    <t>Предоставление молодым семьям свидетельств о праве на получение социальной выплаты на приобретение жилого помещения или создание объекта индивидуального жилищного строительства и социальных выплат на данные цели.</t>
  </si>
  <si>
    <t xml:space="preserve">Доля детей и молодежи (возраст 3-29 лет), систематически занимающихся физической культурой и спортом в общей численности детей 
и молодежи
</t>
  </si>
  <si>
    <t>Охват детей и подростков (6-15) лет массовым спортом в учреждениях спортивной направленности</t>
  </si>
  <si>
    <t>Подпрограмма 1 «Привлечение населения города Cнежинска к систематическим занятиям физической культурой и спортом"</t>
  </si>
  <si>
    <t>Количество проводимых конкурсов "Самый благоустроенный двор"</t>
  </si>
  <si>
    <t>Количество дворового оборудования, находящегося на содержании, в том числе: игровые комплексы, качели, карусели, песочницы, спортплощадки, турники, горки, бельевые, хоккейные корты и т.д.</t>
  </si>
  <si>
    <t>Количество установок «Вечный огонь» на обслуживании</t>
  </si>
  <si>
    <t>Объем привозимого песка на детские площадки</t>
  </si>
  <si>
    <t xml:space="preserve">Количество утвержденных транспортных маршрутов </t>
  </si>
  <si>
    <t>Обеспечение обслуживания и сопровождения программного комплекса для ведения реестра муниципального имущества города Снежинска и формирования учета в программе «Барс – Аренда». Обновление (продление) электронной подписи для осуществления обмена электронными документами  с Управлением Росреестра по Челябинской области</t>
  </si>
  <si>
    <t xml:space="preserve"> Реализация функций возложенных на КУИ города Снежинска в области иных имущественных отношений</t>
  </si>
  <si>
    <t xml:space="preserve">1) 3 377,18  рублей -    оплата за вывоз ТКО по пустующим помещениям и Свердлова,1 за декабрь 2023 г. в январе 2024 г.                                                  2) 13 092,00 рублей - за услуги по перечислению денежных средств, поступающих от нанимателей муниципальных услуг, за декабрь 2023 (оплачено  в январе  2024  в соответствии  с условиями  МК                             3)  670 110,81  рублей - содержание  пустующих помещений, Свердлова,1 - оплата  работ «по факту» на основании актов  выполненных работ;  поступление первичных документов от контрагентов за декабрь 2022 г. в январе 2023 г., экономия в связи с уменьшением  площадей пустующих муниципальных помещений                                                                                      4) 72 852,23 рублей -  оплата услуг по содержанию здания Свердлова,1 за декабрь 2023 г. в январе 2024 г. , экономия                   5) 49 568,16  руб. уплата  НДС  в январе 2024 за 4 квартал 2023                                                       6) 1 000,00 рублей -   МК на услуги по разграничению электросетей  Свердлова,1  (оплата  в феврале 2024)                                                                           7) 571,00 рублей - экономия  от приобретения  хозтоваров  для содержания  Свердлова,1                                                                               </t>
  </si>
  <si>
    <t xml:space="preserve"> Количество профилактических мероприятий по предупреждению экстремистских и террористических проявлений.</t>
  </si>
  <si>
    <t xml:space="preserve"> Количество (отсутствие) преступлений террористической и экстремистской направленности на территории Снежинского городского округа.</t>
  </si>
  <si>
    <t xml:space="preserve"> Количество публикаций в СМИ Снежинского городского округа направленных на профилактику терроризма и экстремизма.</t>
  </si>
  <si>
    <t xml:space="preserve"> Количество изготовленных памяток, листовок, плакатов по действиям населения в случаях угрозы возникновения террористического акта.</t>
  </si>
  <si>
    <t xml:space="preserve"> Изготовление и распространение в местах массового пребывания людей информационных материалов (листовок, памяток, плакатов) по вопросам противодействия терроризму и экстремизму.</t>
  </si>
  <si>
    <t xml:space="preserve"> Реконструкция спортивных площадок открытого типа на территории стадиона им.
Ю.А.Гагарина
</t>
  </si>
  <si>
    <t xml:space="preserve"> Капитальный ремонт  футбольной трибуны на стадионе им.Ю.А.Гагарина</t>
  </si>
  <si>
    <t>Предоставление субсидии на иные цели муниципальным бюджетным (автономным) учреждениям – общеобразовательным организациям на проведение ремонтных работ по замене оконных блоков в муниципальных общеобразовательных организациях</t>
  </si>
  <si>
    <t>Предоставление субсидии на обеспечение образовательных организаций 1-й и 2-й категорий квалифицированной охраной</t>
  </si>
  <si>
    <t>Предоставление субсидии на 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</si>
  <si>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Предоставление субсидии на реализацию мероприятий по модернизации школьных систем образования</t>
  </si>
  <si>
    <t>Предоставление субсидии на реализацию мероприятий по модернизации школьных систем образования за счет средств местного бюджета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</si>
  <si>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</si>
  <si>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>Обеспечение питанием детей льготных категорий, обучающихся в муниципальных общеобразовательных организациях</t>
  </si>
  <si>
    <t>Обеспечение питанием учащихся (воспитанников) МБОУ СКОШ № 122, 128</t>
  </si>
  <si>
    <t>Обеспечение питанием отдельных (льготных) категорий обучающихся в общеобразовательных организациях (МБОУ № 117, 121, 125, 126, 127, 135)</t>
  </si>
  <si>
    <t>Предоставление субсидии на 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</si>
  <si>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>счета за декабрь выставлены в январе 2024 г., страховые взносы за декабрь 2023 г. будут уплачены в январе 2024 г.</t>
  </si>
  <si>
    <t>Приобретение оборудования, работы по благоустройству, проведение текущих ремонтов МКУ ЦОДОУ, Управления образования</t>
  </si>
  <si>
    <t xml:space="preserve">Площадь наносимой дорожной разметки </t>
  </si>
  <si>
    <t>Финансовое обеспечение получения общего, дополнительного образования и услуг по присмотру и уходу в общеобразовательных организациях</t>
  </si>
  <si>
    <t>Охват детей с 3 до 7 лет дошкольным образованием</t>
  </si>
  <si>
    <t>Круглогодичное содержание загородного лагеря</t>
  </si>
  <si>
    <t>Итого по подпрограмме 1.</t>
  </si>
  <si>
    <t>Численность молодых граждан, принявших участие в мероприятиях образовательной, интеллектуальной и творческой деятельности проводимых на территории муниципального образования</t>
  </si>
  <si>
    <t>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</t>
  </si>
  <si>
    <t>Подпрограмма 3 «Сохранение и развитие культурно-досуговой сферы»</t>
  </si>
  <si>
    <t>Задача 1. Создание условий для более полного вовлечения молодёжи в социально-экономическую, политическую и культурную жизнь общества</t>
  </si>
  <si>
    <t xml:space="preserve">Проспект Мира (реконструкция участка 
от ул. Нечая до ул. Широкая) 
в г. Снежинске Челябинской области
</t>
  </si>
  <si>
    <t>Улица Ломинского. Реконструкция (от ул. В.З. Нечая до ул. Героя России Дмитрия Новоселова) в городе Снежинске, в т.ч. ПИР</t>
  </si>
  <si>
    <t>Улица Академика Забабахина. Реконструкция (в т.ч. проектно-изыскательские работы)</t>
  </si>
  <si>
    <t>Проспект Мира (реконструкция участка от ул. Нечая до ул. Широкая) в                г. Снежинске Челябинской области (проектно-изыскательские работы)</t>
  </si>
  <si>
    <t xml:space="preserve">4.  Программа «Развитие физической культуры и спорта в Снежинском городском округе» на 2018-2026 г.г. </t>
  </si>
  <si>
    <t>7. Муниципальная Программа "Развитие образования в Снежинском городском округе" на 2023 - 2030 гг.</t>
  </si>
  <si>
    <t>11. Муниципальная Программа "Комплексное развитие транспортной инфраструктуры в Снежинском городском округе" на 2017-2026 гг.</t>
  </si>
  <si>
    <t>12. Муниципальная программа "Развитие системы гражданской обороны, защиты от чрезвычайных ситуаций" на 2023-2027 гг.</t>
  </si>
  <si>
    <t>13. Муниципальная программа "Управление муниципальным имуществом и земельными ресурсами Снежинского городского округа" на 2019-2026 гг.</t>
  </si>
  <si>
    <t>Возросло количество преступлений, в том числе совершенных с применением информационно-коммуникационных технологий</t>
  </si>
  <si>
    <t>Задача 1.  Обеспечение безопасности граждан на территории городского округа, совершенствование системы профилактики преступлений и иных правонарушений, снижение количества противоправных деяний и их проявлений</t>
  </si>
  <si>
    <t>Задача 2.  Снижение уровня незаконного употребления наркотиков жителями городского округа</t>
  </si>
  <si>
    <t xml:space="preserve">Итого по задаче 2 </t>
  </si>
  <si>
    <t>доля расходов по задаче 2 в общем объеме полученных средств</t>
  </si>
  <si>
    <t>доля расходов по задаче 1 в общем объеме полученных средств</t>
  </si>
  <si>
    <t xml:space="preserve">Доля граждан Снежинского городского округа, систематически занимающихся физической культурой и спортом, 
в общей численности населения Снежинского городского округа 
в возрасте 3 - 79 лет 
</t>
  </si>
  <si>
    <t xml:space="preserve">Доля лиц с ограниченными возможностями здоровья, систематически занимающихся физической культурой и спортом, 
в общей численности данной категории населения в Снежинском  городском округе
</t>
  </si>
  <si>
    <t xml:space="preserve">Исполнение плана по расходам в бюджете Снежинского городского округа </t>
  </si>
  <si>
    <t>Количество зарегистрированных преступлений</t>
  </si>
  <si>
    <t>Количество преступлений, совершенных в общественных местах</t>
  </si>
  <si>
    <t>Количество преступлений, совершенных лицами, находящимися в состоянии опьянения</t>
  </si>
  <si>
    <t>Количество преступлений, совершенных                                 несовершеннолетними</t>
  </si>
  <si>
    <t>Реализация инициативных проектов</t>
  </si>
  <si>
    <t>Выплата денежного поощрения (премии)</t>
  </si>
  <si>
    <t>Количество детей, охваченных дополнительным образованием во Дворце творчества</t>
  </si>
  <si>
    <t>Количество квалифицированных тренеров и тренеров-преподавателей физкультурных организаций, работающих по специальности</t>
  </si>
  <si>
    <t>16. Муниципальная Программа "Энергосбережение и повышение энергетической эффективности на территории Снежинского городского округа" на 2021-2025 гг.</t>
  </si>
  <si>
    <t>17. Муниципальная Программа "Создание и содержание мест (контейнерных  площадок) накопления твердых коммунальных отходов на территории Снежинского городского округа" на 2019-2025 годы</t>
  </si>
  <si>
    <t>18. Муниципальная Программа «Развитие информационного общества  в Снежинском городском округе» на 2019 – 2030 гг.</t>
  </si>
  <si>
    <t>Подпрограмма "Формирование жилищного фонда, предоставляемого по договорам найма"</t>
  </si>
  <si>
    <t>Подпрограмма "Подготовка земельных участков для освоения в целях жилищного строительства"</t>
  </si>
  <si>
    <t>Подпрограмма "Переселение граждан из жилищного фонда, признанного непригодным для проживания"</t>
  </si>
  <si>
    <t xml:space="preserve">Подрограмма 2 "Реализация молодежной политики" </t>
  </si>
  <si>
    <t>Подпрограмма 1 "Развитие системы художественного образования"</t>
  </si>
  <si>
    <t>Подпрограмма 3 "Сохранение и развитие культурно-досуговой сферы"</t>
  </si>
  <si>
    <t xml:space="preserve">Подпрограмма 5 "Укрепление материально-технической базы учреждений культуры и искусства"
</t>
  </si>
  <si>
    <t>Подпрограмма 6 "Обеспечение деятельности учреждений культуры"</t>
  </si>
  <si>
    <t xml:space="preserve">Подпрограмма 3." Развитие спортивной инфраструктуры". </t>
  </si>
  <si>
    <t>Подпрограмма 4. "Реализация государственной политики  в области физической культуры и спорта".</t>
  </si>
  <si>
    <t>Подпрограмма 1 "Поддержка и развитие малого и среднего предпринимательства, физических лиц, применяющих специальный налоговый режим".</t>
  </si>
  <si>
    <t>Подпрограмма 2  "Улучшение условий и охраны труда в Снежинском городском округе"</t>
  </si>
  <si>
    <t>Задача 1. "Исполнение плана по поступлениям от использования муниципального имущества и земельных участков, реализации  муниципального имущества"</t>
  </si>
  <si>
    <t>Экономия в результате аукционных процедур</t>
  </si>
  <si>
    <t xml:space="preserve">Итого по  задаче 1 </t>
  </si>
  <si>
    <t>Экономия в результате  аукционных процедур</t>
  </si>
  <si>
    <t>Итого по задаче 2</t>
  </si>
  <si>
    <t>Задача 3." Содержание и сохранность муниципального имущества"</t>
  </si>
  <si>
    <t xml:space="preserve">Доля объектов (жилых помещений и общедомового имущества в многоквартирном доме) приспособленных с учетом потребности инвалидов (от числа обследованных объектов) </t>
  </si>
  <si>
    <t>Повышение уровня доступности приоритетных объектов, приспособление жилых помещений и общего имущества в многоквартирном доме с учетом потребности инвалидов</t>
  </si>
  <si>
    <t xml:space="preserve">Оплата жилищно-коммунальных услуг отдельным категориям граждан </t>
  </si>
  <si>
    <t xml:space="preserve">10. Муниципальная Программа «Комплексное развитие систем коммунальной инфраструктуры Снежинского городского округа» на 2017-2026 гг.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</si>
  <si>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</si>
  <si>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</si>
  <si>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Доля использованной муниципальным образованием субсидии местному бюджету в общем размере субсидии местному бюджету, перечисленной муниципальному образованию</t>
  </si>
  <si>
    <t>Количество СОНКО – победителей конкурсов на предоставление грантов на развитие гражданского общества различного уровня</t>
  </si>
  <si>
    <t>Количество СОНКО, осуществляющих деятельность на территории Снежинского городского округа, задействованных в мероприятиях занятости детей и подростков города Снежинска, в том числе в каникулярное время</t>
  </si>
  <si>
    <t>Количество СОНКО, зарегистрированных и осуществляющих свою деятельность на территории Снежинского городского округа</t>
  </si>
  <si>
    <t>Количество СОНКО, получивших финансовую поддержку из бюджета Снежинского городского округа</t>
  </si>
  <si>
    <t>Количество СОНКО, получивших имущественную поддержку в виде предоставления муниципального имущества во владение и/или пользование</t>
  </si>
  <si>
    <t>Количество СОНКО, получивших информационную поддержку администрации Снежинского городского округа</t>
  </si>
  <si>
    <t>Количество СОНКО, получивших консультационную и методическую поддержку администрации Снежинского городского округа</t>
  </si>
  <si>
    <t>Итого по подпрограмме 6</t>
  </si>
  <si>
    <t>Финансовое обеспечение деятельности МБУ "ЦОДУК"</t>
  </si>
  <si>
    <t>доля расходов по подпрограмме 5 в общем объеме полученных средств</t>
  </si>
  <si>
    <t>доля расходов по подпрограмме 6 в общем объеме полученных средств</t>
  </si>
  <si>
    <t xml:space="preserve">Подпрограмма 2 «Реализация молодежной политики» </t>
  </si>
  <si>
    <t xml:space="preserve">Подпрограмма 5 «Укрепление материально–технической базы учреждений культуры и искусства» </t>
  </si>
  <si>
    <t xml:space="preserve"> Социальная активность</t>
  </si>
  <si>
    <t xml:space="preserve">Объем библиотечного фонда </t>
  </si>
  <si>
    <t>Итого по Программе 2</t>
  </si>
  <si>
    <t>Социальная активность (организация и проведение мероприятий с детьми и молодежью)</t>
  </si>
  <si>
    <t xml:space="preserve"> Работы по государственной историко-культурной экспертизе в отношении выявленного объекта культурного наследия «Мемориальный комплекс «Победа» - 1 ед. в 2023 году</t>
  </si>
  <si>
    <t xml:space="preserve">Количество выявленных объектов культурного наследия, в отношении которых проведена государственная историко-культурной экспертиза </t>
  </si>
  <si>
    <t>Количество организаций культуры, получивших современное оборудование (МБУ ДО «Снежинская детская музыкальная школа им. П.И.Чайковского» в 2023 г.)</t>
  </si>
  <si>
    <t xml:space="preserve"> </t>
  </si>
  <si>
    <t xml:space="preserve">Возмещение недополученных доходов организациям </t>
  </si>
  <si>
    <t>Техническое обслуживание скважины в д.Ключи МКП "Энергетик"</t>
  </si>
  <si>
    <t>Задача 2 Создание условий для организации занятости и досуга детей, подростков и молодежи</t>
  </si>
  <si>
    <t xml:space="preserve"> Финансовое обеспечение деятельности детских школ искусств 
</t>
  </si>
  <si>
    <t xml:space="preserve">Финансовое обеспечение мероприятий 
в сфере молодёжной политики 
</t>
  </si>
  <si>
    <t>доля расходов по подпрограмме 1 в общем объеме полученных средств</t>
  </si>
  <si>
    <t>доля расходов по подпрограмме 2 в общем объеме полученных средств</t>
  </si>
  <si>
    <t>Задача 1 Сохранение нематериального культурного наследия, формирование у граждан устойчивого интереса к культурно-творческим мероприятиям</t>
  </si>
  <si>
    <t>Финансовое обеспечение деятельности учреждений культуры</t>
  </si>
  <si>
    <t>Средства на выполнение проектно-изыскательских работ по празработке ПСД на капитальный ремонт здания ДК "Октябрь" в размере 6 млн.руб. выделены 01.12.2023г.,конкурс объявлен 26.12.2023г.,срок выполнения работ с 01.02.2024г.по 30.11.2024г.</t>
  </si>
  <si>
    <t xml:space="preserve">Создание модельных муниципальных библиотек за счет средств областного бюджета («Культурная среда») МБУ «Городская библиотека, филиал № 1 клуб «Дружба», комплекс ремонтных работ в клубе «Дружба»
</t>
  </si>
  <si>
    <t>Переоснащены муниципальные библиотеки по модельному стандарту (МБУ «Городская библиотека», филиал № 1)</t>
  </si>
  <si>
    <t>Задача 2 Формирование разноформатного обновляемого библиотечного фонда (комплектование изданиями в традиционном и электронном формате)</t>
  </si>
  <si>
    <t>Модернизация библиотек в части комплектования книжных фондов  библиотек муниципальных образований и государственных общедоступных библиотек (МБУ «Городская библиотека»)</t>
  </si>
  <si>
    <t>2.4 Организация и проведение спортивно-оздоровительной работы по развитию физической культуры и спорта</t>
  </si>
  <si>
    <t>Магистральные сети электроснабжения жилого поселка №2, расположенного в  г.Снежинске Челябинской области</t>
  </si>
  <si>
    <t>Управление образования</t>
  </si>
  <si>
    <t>УФиС</t>
  </si>
  <si>
    <t>Доля граждан в возрасте 6-15 лет, занимающихся в спортивных учреждениях, в общей численности детей и молодежи в возрасте 6-15 лет</t>
  </si>
  <si>
    <t>Итого по подпрограмме 2</t>
  </si>
  <si>
    <t>Протяженность обслуживаемой улично-дорожной сети</t>
  </si>
  <si>
    <t>Количество обслуживаемых светофорных объектов</t>
  </si>
  <si>
    <t>специальная оценка условий труда в Администрации г.Снежинска не проводилась в связи с отсутствием необходимости её проведения</t>
  </si>
  <si>
    <t xml:space="preserve">Доля расходов по подпрограмме 1 в общем объеме полученных средств </t>
  </si>
  <si>
    <t xml:space="preserve">Доля расходов по подпрограмме 2 в общем объеме полученных средств </t>
  </si>
  <si>
    <t>Количество компьютеров работников Управления, на которые установлено обновленное программное обеспечение</t>
  </si>
  <si>
    <t>Доля детей, охваченных отдыхом в каникулярное время в лагерях с дневным пребыванием детей, в общем числе детей Челябинской области, охваченных отдыхом в организациях отдыха детей и их оздоровления всех типов</t>
  </si>
  <si>
    <t xml:space="preserve">Проведение специальной оценки условий труда в муниципальных учреждениях
</t>
  </si>
  <si>
    <t>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</si>
  <si>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&gt; 90</t>
  </si>
  <si>
    <t>&lt;5</t>
  </si>
  <si>
    <t>Количество воспитанников в дошкольных образовательных организациях</t>
  </si>
  <si>
    <t>Организация отдыха детей в каникулярное время</t>
  </si>
  <si>
    <t>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</t>
  </si>
  <si>
    <t>Уменьшение удельного расхода электроэнергии в системе водоснабжения (кВт час/ м3)</t>
  </si>
  <si>
    <t>Удельное водопотребление (м3/чел)</t>
  </si>
  <si>
    <t>Количество предоставленных субсидий садоводческим некоммерческим товариществам (объединениям) граждан в Снежинском городском округе (шт.)</t>
  </si>
  <si>
    <t>Количество кадетских классов</t>
  </si>
  <si>
    <t>Итого по Программе 3.</t>
  </si>
  <si>
    <t>Предоставление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</si>
  <si>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Расходы для проведения государственной итоговой аттестации</t>
  </si>
  <si>
    <t>Доля детей, охваченных отдыхом в каникулярное время в организациях отдыха и оздоровления детей, в общем числе детей Челябинской области, охваченных отдыхом в организациях отдыха детей и их оздоровления всех типов</t>
  </si>
  <si>
    <t>Коэфф. использования средств бюджета</t>
  </si>
  <si>
    <t>Эффективность использования средств бюджета</t>
  </si>
  <si>
    <t>Местный бюджет</t>
  </si>
  <si>
    <t>4=3-2</t>
  </si>
  <si>
    <t>Муниципальный долг Снежинского городского округа по отношению к утвержденному годовому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от налога на доходы физических лиц, (%)</t>
  </si>
  <si>
    <t>Количество подведомственных Управлению учреждений</t>
  </si>
  <si>
    <t>Доля отчисленных с этапов подготовки от общего количества обучающихся и спортсменов в ДЮСШ и СШОР</t>
  </si>
  <si>
    <t>Количество подведомственных Управлению учреждений, в которых проведена оценка качества их деятельности</t>
  </si>
  <si>
    <t>Количество работников Управления повысивших свою квалификацию или прошедших курсы переподготовки</t>
  </si>
  <si>
    <t>КУИ</t>
  </si>
  <si>
    <t>УГХ</t>
  </si>
  <si>
    <t>Собрание депутатов</t>
  </si>
  <si>
    <t>Финансовое управление</t>
  </si>
  <si>
    <t>Количество обслуживаемых контейнерных площадок для сбора ТБО</t>
  </si>
  <si>
    <t>Протяженность обслуживаемых сетей  ливневой канализации</t>
  </si>
  <si>
    <t>Площадь скверов, площадей и др. территорий с повышенными требованиями к эксплуатационному состоянию на содержании</t>
  </si>
  <si>
    <t>Объем вывозимых ЖБО</t>
  </si>
  <si>
    <t xml:space="preserve">Объем предоставляемых банных услуг </t>
  </si>
  <si>
    <t>Количество обслуживаемых скважин в д. Ключи МКП «Энергетик»</t>
  </si>
  <si>
    <t>Удельный вес численности воспитанников дошкольных образовательных организаций в возрасте 3 - 7 лет, охваченных образовательными программами дошкольного образования, соответствующими требованиями федерального государственного образовательного стандарта дошкольного образования</t>
  </si>
  <si>
    <t>решение комиссии</t>
  </si>
  <si>
    <t>увеличение численности получателей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</si>
  <si>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Управление культуры</t>
  </si>
  <si>
    <t xml:space="preserve">1.4 Пропаганда физической культуры, массового спорта и здорового образа жизни </t>
  </si>
  <si>
    <t xml:space="preserve">Подпрограмма 3. Развитие спортивной инфраструктуры. </t>
  </si>
  <si>
    <t>Итого по Программе 4</t>
  </si>
  <si>
    <t>Количество молодых людей, принимающих участие в форумах, фестивалях, конкурсах различного уровня.</t>
  </si>
  <si>
    <t>Количество мероприятий с  детьми и молодёжью</t>
  </si>
  <si>
    <t>Количество установленных малых архитектурных форм</t>
  </si>
  <si>
    <t>Коэффициент функциональной и технической готовности  поисково-спасательной службы                           г. Снежинска</t>
  </si>
  <si>
    <t xml:space="preserve">Количество действующих свидетельств об аттестации поисково-спасательной службы. </t>
  </si>
  <si>
    <t>Коэффициент выполнения плана мероприятий по охране жизни и здоровья людей, предупреждению чрезвычайных ситуаций и ликвидации их последствий на водных объектах, расположенных в границах ЗАТО г. Снежинск</t>
  </si>
  <si>
    <t>Количество организованных мероприятий по обеспечению безопасности на воде:</t>
  </si>
  <si>
    <t>«Месячник безопасности людей на водных объектах Снежинского городского округа»</t>
  </si>
  <si>
    <t>«Крещенские купания»</t>
  </si>
  <si>
    <t>Коэффициент технической и функциональной готовности оборудования и помещений ЕДДС г. Снежинска</t>
  </si>
  <si>
    <t>Коэффициент укомплектованности обученными сотрудниками ЕДДС г. Снежинска</t>
  </si>
  <si>
    <t>Осуществление сбора информации в области защиты населения и территорий от чрезвычайных ситуаций и обмен такой информацией.</t>
  </si>
  <si>
    <t>Создание, содержание и организация деятельности аварийно-спасательной службы</t>
  </si>
  <si>
    <t>Осуществление мероприятий по обеспечению безопасности людей на водных объектах, охране их жизни и здоровья.</t>
  </si>
  <si>
    <t>Обеспечение эксплуатации и развития системы обеспечения вызова экстренных оперативных служб по единому номеру «112».</t>
  </si>
  <si>
    <t>Задача 2. Проведение подготовки и обучения населения в области гражданской обороны, а также способам защиты и действиям при чрезвычайных ситуациях.</t>
  </si>
  <si>
    <t>Коэффициент выполнения плана комплектования слушателями по повышению квалификации должностных лиц и работников гражданской обороны муниципального образования в курсах ГО г. Снежинска</t>
  </si>
  <si>
    <t>Проведение подготовки и обучения населения в области гражданской обороны, а также способам защиты и действиям при чрезвычайных ситуациях.</t>
  </si>
  <si>
    <t>Задача 3. Содержание и ремонт имущества в исправном состоянии</t>
  </si>
  <si>
    <t>Организация и выполнение проектно-изыскательских и строительных работ (эллинги)</t>
  </si>
  <si>
    <t>Капитальный ремонт кровли зданий эллингов Управления по делам ГО и ЧС г. Снежинска, расположенных по адресу:              г. Снежинск, ул. 40 лет Октября, 38 (в т.ч. проектно-изыскательские работы)</t>
  </si>
  <si>
    <t>Задача 4. Ликвидация Управления ГОЧС г.Снежинска</t>
  </si>
  <si>
    <t>Количество ликвидированных учреждений</t>
  </si>
  <si>
    <t xml:space="preserve">Уплата налогов МКУ «Управление ГОЧС 
г. Снежинска
</t>
  </si>
  <si>
    <t>Доля детей из малообеспеченных, неблагополучных семей, а также семей, оказавшихся в трудной жизненной ситуации, привлечённых в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</si>
  <si>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План: Проекты на реконструкцию дорог ул. Ломинского, ул. Академика Забабахина, проспект Мира. Факт: проспект Мира</t>
  </si>
  <si>
    <t xml:space="preserve">Реконструкция улицы Берёзовая в жилом поселке № 2 города Снежинска (реконструкция на участке от улицы Чуйкова до улицы Строителей) </t>
  </si>
  <si>
    <t>Мероприятие исключено из Соглашения от 14.02.2023 №90-Д о предоставлении в 2023 году из бюджета Челябинской области бюджету Снежинского ГО субсидии на софинансирование расходных обязательств по строительству и реконструкции автомобильных дорог общего пользования местного значения</t>
  </si>
  <si>
    <t xml:space="preserve">Заключено два муниципальных контракта на обустройство пешеходных переходов на территории Снежинского ГО (один на 8 пешеходных переходов на сумму 1 500 000 руб, второй на один пешеходный переход по ул. Нечая на сумму 1 510 434 руб.). Искусственные дорожные неровности выполнялись в рамках заключенных контрактов. Работы выполнены в полном объеме. </t>
  </si>
  <si>
    <t>Количество установленных искусственных дорожных неровностей</t>
  </si>
  <si>
    <t>Количество выполненных мероприятий по предписаниям и представлениям ОГИБДД</t>
  </si>
  <si>
    <t>Обеспечение контейнерным сбором образующихся в жилом фонде ТКО</t>
  </si>
  <si>
    <t xml:space="preserve">Уровень обеспеченности муниципальных образований контейнерным сбором ТКО
</t>
  </si>
  <si>
    <t>Повышение квалификациипроходит в соответствии с планами</t>
  </si>
  <si>
    <t>Доля расходов по подпрограмме 1 в общем объеме  полученных средств</t>
  </si>
  <si>
    <t>Охват детей в возрасте 5-18 лет дополнительным образованием от количества детей в возрасте 5-18 лет, проживающих на территории</t>
  </si>
  <si>
    <t>Количество обучающихся, родителей (законных представителей), педагогических работников, получивших психолого-педагогическое консультирование в общеобразовательных организациях</t>
  </si>
  <si>
    <t>увеличение контингента получателей услуг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</si>
  <si>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</si>
  <si>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нестабильная работа ИС «Навигатор дополнительного образования детей Челябинской области»</t>
  </si>
  <si>
    <t>Доля педагогических работников общеобразовательных организаций, получивших ежемесячное денежное вознаграждение за классное руководство, в общей численности педагогических работников такой категории</t>
  </si>
  <si>
    <t>Количество общеобразовательных организаций, реализующих мероприятия по обеспечению деятельности советников директора по воспитанию в муниципальных общеобразовательных организациях (единиц)</t>
  </si>
  <si>
    <t>Доля капитально отремонтированных зданий муниципальных общеобразовательных организаций в общем количестве зданий муниципальных общеобразовательных организаций, требующих проведения капитальных  ремонтов</t>
  </si>
  <si>
    <t>Доля образовательных организаций, реализовавших инициативные проекты, в общем количестве образовательных организаций, получивших субсидию на реализацию инициативных проектов</t>
  </si>
  <si>
    <t>По итогам проведения аукциона состоялась экономия с НМЦ -1118333,33 до 810 986,00. МК А25-ПИР/2023 от 21.08.2023 расторгнут по соглашению сторон 09.11.2023 доп. соглашением №2 в связи с несоответсвием исходных данных для проектирования требованиям нормативной документации. Оплачены факт. выполенные работы на сумму 235 000, 00р. Заключен МК ЕП -28/2023 от 27.11.2023. на сумму 590 000,00р. Контаркт выполнен в полном объеме</t>
  </si>
  <si>
    <t>Поставки завершены. Осуществлена приемка и оплата. Оплачены контаркты на общую сумму 9 519 544,33 р. Также  в связи с нарушением срока поставки товара с поставщика была удержана неустойка в размере 252 617,4р. работы по контракту № 0869200000223000236 А01-КР/2023 от 31.02.2023г. не завершены. Завершение исполнения по контракту планируется на 30.04.2024, после чего будут подписаны акты выполенных работ и оплачены работы.</t>
  </si>
  <si>
    <t>Оплачены фактически выполнненные работы, согласно доп. соглашению о расторжении №1 от 25.12.2023</t>
  </si>
  <si>
    <t>Задача 4. Формирование муниципального имущества из приобретенных основных средств - жилых помещений (специализированного  жилищного фонда) для предоставления по договорам  социального найма  отедльным категориям граждан - детям-сиротам, детям, оставшимся без попечения  родителей)</t>
  </si>
  <si>
    <t xml:space="preserve"> Приобретение жилья для лиц из числа детей-сирот и детей, оставшихся без попечения родителей</t>
  </si>
  <si>
    <t>Высокая  стоимость  повышения  квалификации, отсутствие  финансирования  на оплату  суточных  и проживание в период  обучения</t>
  </si>
  <si>
    <t xml:space="preserve">Экономия в связи с уменьшением   количества  мунципальных служащих </t>
  </si>
  <si>
    <t>11. Муниципальная программа «Комплексное развитие транспортной инфраструктуры Снежинского городского округа» на 2017– 2026 гг.</t>
  </si>
  <si>
    <t>Итого по Программе 11</t>
  </si>
  <si>
    <t xml:space="preserve"> 19. Муниципальная программа "Поддержка социально-ориентированных некоммерческих организаций Снежинского городского округа" на 2021-2026 гг.</t>
  </si>
  <si>
    <t>20. Муниципальная Программа "Формирование законопослушного поведения участников дорожного движения в Снежинском городском округе" на 2019-2025 годы</t>
  </si>
  <si>
    <t xml:space="preserve">21. Муниципальная программа «Профилактика терроризма и экстремизма на территории Снежинского городского округа" на 2022-2026гг. </t>
  </si>
  <si>
    <t>22. Муниципальная программа "Доступная среда на 2022-2026 годы"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</si>
  <si>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Рособрнадзора от 07 ноября 2018 г. № 190/1512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</si>
  <si>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Количество оконных блоков, замененных в рамках проведения ремонтных работ по замене оконных блоков в муниципальных общеобразовательных организациях</t>
  </si>
  <si>
    <t>Доля зданий муниципальных общеобразовательных организаций, в которых проведены ремонтные работы по замене оконных блоков, в общем количестве зданий муниципальных общеобразовательных организаций, требующих проведения ремонтных работ по замене оконных блоков в муниципальных общеобразовательных организациях</t>
  </si>
  <si>
    <t xml:space="preserve">Заключен переходящий муниципальный контракт №0369300005123000024 А34-РК/2023 от 02.12.2023 на выполнение работ  по реконструкции участка проспекта Мира от улицы Нечая до улицы Широкая в городе Снежинске Челябинской области. Подрядная организация ООО «СК «Волга-Автодор». Срок выполнения работ с 09.01.2024 по 01.11.2024. Стоимость выполнения работ – 192 738 250,80 руб., в т.ч. по годам:
- в 2023 году оплачен аванс в размере 50% - 96 369 125,40 руб.,
- в 2024 году планируется завершение работ по реконструкции пр.Мира с объемом финансирования  - 96 369 125,40 руб.
  Освоение на 01 января 2024 года – 96 369 125,40 тыс. руб., в т.ч.:
- 96 272 770 руб. - за счет средств областного бюджета;
- 96 355,40  руб. – за счет средств местного бюджета.
Остаток средств – 0,014 тыс. руб. </t>
  </si>
  <si>
    <t>Доля потребителей в жилых домах, обеспеченных доступом к коммунальной услуге (%)</t>
  </si>
  <si>
    <t>Объем библиотечного фонда (в т.ч. в рамках реализации мероприятия «Модернизация библиотек в части комплектования книжных фондов библиотек муниципальных образований и государственных общедоступных библиотек» для МБУ «Городская библиотека»), тыс.ед.</t>
  </si>
  <si>
    <t>Обеспечение эксплуатационно-технического обслуживания объектов и помещений учреждений культуры, а также содержание указанных объектов и помещений, оборудования и прилегающей территории в надлежащем состоянии, тыс.кв.м</t>
  </si>
  <si>
    <t>Загруженность спортивных сооружений подведомственных Управлению учреждений, человек</t>
  </si>
  <si>
    <t xml:space="preserve">Загруженность спортивных сооружений подведомственных Управлению учреждений 
от нормативного значения, %
</t>
  </si>
  <si>
    <t>Площадь эксплуатируемого недвижимого имущества, всего, в т.ч. зданий и прилегающей территории, тыс.кв.м</t>
  </si>
  <si>
    <t>Единовременная пропускная способность спортивных сооружений от нормативного значения, %</t>
  </si>
  <si>
    <t>Единовременная пропускная способность спортивных объектов, введенных в эксплуатацию (новых, после капитального ремонта или реконструкции), человек</t>
  </si>
  <si>
    <t>Увеличение доли объектов имущества в перечнях имущества, предназначенного для предоставления субъектам МСП и физическим лицам, применяющим специальный налоговый режим, %</t>
  </si>
  <si>
    <t>Численность занятых в сфере малого и среднего предпринимательства, включая индивидуальных  предпринимателей, тыс.чел.</t>
  </si>
  <si>
    <t>Число субъектов МСП, ед. на 10 тыс.чел.</t>
  </si>
  <si>
    <t xml:space="preserve">Количество субъектов МСП и физических лиц, применяющих специальный налоговый режим принявших участие в конкурсах, проводимых администрацией Снежинского городского округа, ед.
</t>
  </si>
  <si>
    <t>Количество мероприятий, проведенных ко Дню российского предпринимательства, ед.</t>
  </si>
  <si>
    <t>Численность работников с установленным диагнозом профессионального заболевания, чел.</t>
  </si>
  <si>
    <t>Количество мероприятий, проведенных в рамках Всемирного дня охраны труда, ед.</t>
  </si>
  <si>
    <t>Доступность дошкольного образования для детей от 2 месяцев до 8 лет, %</t>
  </si>
  <si>
    <t>Численность детей школьного возраста, охваченных отдыхом и оздоровлением в ЛДПД, чел.</t>
  </si>
  <si>
    <t>Процент освоения целевых денежных средств (субвенций), поступивших из федерального и областного бюджетов на приобретение  основных средств</t>
  </si>
  <si>
    <t>Итого по Задаче 2</t>
  </si>
  <si>
    <t>оплата за декабрь 2023 года произведена в 2024 году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</si>
  <si>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 </t>
  </si>
  <si>
    <t>Пробег ТС по маршрутам</t>
  </si>
  <si>
    <t>Количество перевезенных пассажиров</t>
  </si>
  <si>
    <t>Площадь текущего ремонта улично-дорожной сети (ямочного, картами)</t>
  </si>
  <si>
    <t>Организация весеннего субботника</t>
  </si>
  <si>
    <t>Протяженность живой изгороди улиц на содержании</t>
  </si>
  <si>
    <t>Объем мусора, ликвидированного с несанкционированных свалок</t>
  </si>
  <si>
    <t>Количество объектов  муниципального имущества (кроме земельных участков), по которым КУИ города Снежинска организовано проведение кадастровых работ (в течение года)</t>
  </si>
  <si>
    <t>Количество актуализированных Схем теплоснабжения ЗАТО г. Снежинск на период с 2013 года по 2027 год</t>
  </si>
  <si>
    <t>Латентная (скрытая от правоохранительных органов) категория преступлений</t>
  </si>
  <si>
    <t>Падение уровня жизни населения</t>
  </si>
  <si>
    <t>Количество случаев травматизма, связанных с профессиональной деятельностью в т.ч.</t>
  </si>
  <si>
    <t>Соблюдение установленных сроков утверждения сводной бюджетной росписи бюджета Снежинского городского округа на очередной финансовый год, %</t>
  </si>
  <si>
    <t>Превышение кассовых выплат над лимитами бюджетных обязательств, тыс.руб.</t>
  </si>
  <si>
    <t>Соблюдение норматива формирования бюджета Снежинского городского округа на оплату труда выборных должностных лиц, осуществляющих свои полномочия на постоянной основе, и муниципальных служащих в соответствии с нормативно-правовыми актами Правительства Челябинской области, %</t>
  </si>
  <si>
    <t>&lt;=5</t>
  </si>
  <si>
    <t xml:space="preserve">Дефицит бюджета по отношению к утвержденному годовому объему доходов местного бюджета без учета утвержденного объема безвозмездных поступлений и (или) 
поступлений налоговых доходов по дополнительным нормативам отчислений, %
</t>
  </si>
  <si>
    <t>Наличие на официальном сайте органов местного самоуправления города Снежинска сведений, обязательных для размещения в информационно-телекоммуникационной сети Интернет, %</t>
  </si>
  <si>
    <t xml:space="preserve">Организация в пределах своих полномочий повышения качества управления муниципальными финансами </t>
  </si>
  <si>
    <t>Взносы на обязательное социальное страхование за декабрь 2023 года оплачены в январе 2024 года. экономия по фактическим расходам на "Услуги связи" и "Увеличение стоимости материальных запасов"</t>
  </si>
  <si>
    <t>Просроченная задолженность по долговым обязательствам Снежинского городского округа, тыс.руб.</t>
  </si>
  <si>
    <t xml:space="preserve">Магистральные сети водопровода диаметром 
300 мм по ул. Строителей от ул. Чуйкова до ул. Уральская жилого поселка №2 
г. Снежинска Челябинской области
</t>
  </si>
  <si>
    <t>Уменьшение количества аварий и повреждений в системе водоснабжения (шт./км)</t>
  </si>
  <si>
    <t>Протяженность сетей, нуждающихся в замене (км)</t>
  </si>
  <si>
    <t>Удельный вес сетей, нуждающихся в замене (%)</t>
  </si>
  <si>
    <t>Коэффициент потерь в сети системы водоснабжения  (м3/км)</t>
  </si>
  <si>
    <t>Количество предоставленных субсидий садоводческим некоммерческим товариществам (объединениям) граждан в Снежинском городском округе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</si>
  <si>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общего, среднего общего образования</t>
  </si>
  <si>
    <t>Доля муниципальных образовательных организаций, реализующих программы дошкольного, общего, и дополнительного образования, имеющих в соответствии с требованиями к антитеррористической защищенности 1-ю и/или 2-ю категории опасности, обеспеченных квалифицированной охраной</t>
  </si>
  <si>
    <t>Доля выполненных работ по обеспечению требований к антитеррористической защищенности объектов и территорий, прилегающих к зданиям муниципальных общеобразовательных организаций, в общем количестве запланированных работ по обеспечению требований к антитеррористической защищенности объектов и территорий, прилегающих к зданиям муниципальных общеобразовательных организаций, в текущем году</t>
  </si>
  <si>
    <t>Количество объектов, в которых в полном объеме выполнены мероприятия по капитальному ремонту общеобразовательных организаций и их оснащению средствами обучения и воспитания</t>
  </si>
  <si>
    <t>Доля обновленной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от запланированной к обновлению</t>
  </si>
  <si>
    <t>Доля детей из малообеспеченных семей и детей с нарушениями здоровья, обучающихся в муниципальных общеобразовательных организациях, обеспеченных питанием, в общем количестве детей из малообеспеченных семей и детей с нарушениями здоровья, обучающихся в муниципальных общеобразовательных организациях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</si>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</sst>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_-* #,##0.0_р_._-;\-* #,##0.0_р_._-;_-* &quot;-&quot;??_р_._-;_-@_-"/>
    <numFmt numFmtId="188" formatCode="#,##0.000_ ;\-#,##0.000\ "/>
    <numFmt numFmtId="189" formatCode="0.0%"/>
    <numFmt numFmtId="190" formatCode="#,##0.0"/>
    <numFmt numFmtId="191" formatCode="_-* #,##0_р_._-;\-* #,##0_р_._-;_-* &quot;-&quot;??_р_._-;_-@_-"/>
    <numFmt numFmtId="192" formatCode="_-* #,##0.0000_р_._-;\-* #,##0.0000_р_._-;_-* &quot;-&quot;??_р_._-;_-@_-"/>
    <numFmt numFmtId="193" formatCode="#,##0.00_р_."/>
    <numFmt numFmtId="194" formatCode="#,##0.0000"/>
    <numFmt numFmtId="195" formatCode="?"/>
    <numFmt numFmtId="196" formatCode="0.0"/>
    <numFmt numFmtId="197" formatCode="#,##0.00000"/>
    <numFmt numFmtId="198" formatCode="0.0000"/>
    <numFmt numFmtId="199" formatCode="[$-FC19]d\ mmmm\ yyyy\ &quot;г.&quot;"/>
    <numFmt numFmtId="200" formatCode="0.00000000"/>
    <numFmt numFmtId="201" formatCode="0.0000000"/>
    <numFmt numFmtId="202" formatCode="0.000000"/>
    <numFmt numFmtId="203" formatCode="0.00000"/>
    <numFmt numFmtId="204" formatCode="#,##0.00_ ;\-#,##0.00\ "/>
    <numFmt numFmtId="205" formatCode="#,##0.00\ _₽"/>
    <numFmt numFmtId="206" formatCode="0.0000000000"/>
    <numFmt numFmtId="207" formatCode="0.000000000"/>
    <numFmt numFmtId="208" formatCode="0.0000E+00"/>
    <numFmt numFmtId="209" formatCode="0.000E+00"/>
    <numFmt numFmtId="210" formatCode="0.0E+00"/>
    <numFmt numFmtId="211" formatCode="0E+00"/>
    <numFmt numFmtId="212" formatCode="_-* #,##0.000_р_._-;\-* #,##0.000_р_._-;_-* &quot;-&quot;??_р_._-;_-@_-"/>
    <numFmt numFmtId="213" formatCode="_-* #,##0.00000_р_._-;\-* #,##0.00000_р_._-;_-* &quot;-&quot;??_р_._-;_-@_-"/>
    <numFmt numFmtId="214" formatCode="_(* #,##0.00_);_(* \(#,##0.00\);_(* &quot;-&quot;??_);_(@_)"/>
    <numFmt numFmtId="215" formatCode="_-* #,##0.0&quot;р.&quot;_-;\-* #,##0.0&quot;р.&quot;_-;_-* &quot;-&quot;??&quot;р.&quot;_-;_-@_-"/>
    <numFmt numFmtId="216" formatCode="_-* #,##0&quot;р.&quot;_-;\-* #,##0&quot;р.&quot;_-;_-* &quot;-&quot;??&quot;р.&quot;_-;_-@_-"/>
    <numFmt numFmtId="217" formatCode="0.00000000000"/>
    <numFmt numFmtId="218" formatCode="_-* #,##0.0000\ _₽_-;\-* #,##0.0000\ _₽_-;_-* &quot;-&quot;????\ _₽_-;_-@_-"/>
    <numFmt numFmtId="219" formatCode="#,##0.000\ _₽"/>
    <numFmt numFmtId="220" formatCode="#,##0.000000"/>
    <numFmt numFmtId="221" formatCode="#,##0.0\ _₽"/>
  </numFmts>
  <fonts count="43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844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180" fontId="5" fillId="4" borderId="10" xfId="0" applyNumberFormat="1" applyFont="1" applyFill="1" applyBorder="1" applyAlignment="1">
      <alignment horizontal="center" vertical="top" wrapText="1"/>
    </xf>
    <xf numFmtId="180" fontId="3" fillId="4" borderId="10" xfId="0" applyNumberFormat="1" applyFont="1" applyFill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85" fontId="5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190" fontId="5" fillId="4" borderId="10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/>
    </xf>
    <xf numFmtId="0" fontId="5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top" wrapText="1"/>
    </xf>
    <xf numFmtId="190" fontId="5" fillId="4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 horizontal="center" vertical="top"/>
    </xf>
    <xf numFmtId="4" fontId="3" fillId="4" borderId="10" xfId="0" applyNumberFormat="1" applyFont="1" applyFill="1" applyBorder="1" applyAlignment="1">
      <alignment horizontal="center" vertical="top"/>
    </xf>
    <xf numFmtId="2" fontId="3" fillId="4" borderId="10" xfId="0" applyNumberFormat="1" applyFont="1" applyFill="1" applyBorder="1" applyAlignment="1">
      <alignment horizontal="center" vertical="top"/>
    </xf>
    <xf numFmtId="2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top" wrapText="1"/>
    </xf>
    <xf numFmtId="194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top"/>
    </xf>
    <xf numFmtId="4" fontId="5" fillId="4" borderId="10" xfId="54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 vertical="center"/>
    </xf>
    <xf numFmtId="0" fontId="0" fillId="18" borderId="0" xfId="0" applyFill="1" applyAlignment="1">
      <alignment/>
    </xf>
    <xf numFmtId="0" fontId="14" fillId="4" borderId="10" xfId="0" applyFont="1" applyFill="1" applyBorder="1" applyAlignment="1">
      <alignment horizontal="center" vertical="top" wrapText="1"/>
    </xf>
    <xf numFmtId="180" fontId="14" fillId="4" borderId="10" xfId="0" applyNumberFormat="1" applyFont="1" applyFill="1" applyBorder="1" applyAlignment="1">
      <alignment horizontal="center" vertical="top" wrapText="1"/>
    </xf>
    <xf numFmtId="0" fontId="16" fillId="4" borderId="0" xfId="0" applyFont="1" applyFill="1" applyAlignment="1">
      <alignment/>
    </xf>
    <xf numFmtId="0" fontId="1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96" fontId="5" fillId="4" borderId="10" xfId="0" applyNumberFormat="1" applyFont="1" applyFill="1" applyBorder="1" applyAlignment="1">
      <alignment horizontal="center" vertical="center" wrapText="1"/>
    </xf>
    <xf numFmtId="196" fontId="5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5" fillId="4" borderId="10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5" fontId="5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center" wrapText="1"/>
    </xf>
    <xf numFmtId="187" fontId="5" fillId="0" borderId="10" xfId="64" applyNumberFormat="1" applyFont="1" applyFill="1" applyBorder="1" applyAlignment="1">
      <alignment horizontal="left" vertical="center" wrapText="1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</xf>
    <xf numFmtId="4" fontId="5" fillId="0" borderId="10" xfId="64" applyNumberFormat="1" applyFont="1" applyFill="1" applyBorder="1" applyAlignment="1">
      <alignment horizontal="center" vertical="center" wrapText="1"/>
    </xf>
    <xf numFmtId="0" fontId="5" fillId="0" borderId="10" xfId="6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left" vertical="center" wrapText="1"/>
    </xf>
    <xf numFmtId="190" fontId="5" fillId="0" borderId="10" xfId="64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80" fontId="5" fillId="0" borderId="10" xfId="56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96" fontId="9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4" fontId="0" fillId="4" borderId="0" xfId="0" applyNumberFormat="1" applyFill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64" applyNumberFormat="1" applyFont="1" applyFill="1" applyBorder="1" applyAlignment="1">
      <alignment horizontal="left" vertical="top" wrapText="1"/>
    </xf>
    <xf numFmtId="2" fontId="9" fillId="4" borderId="10" xfId="0" applyNumberFormat="1" applyFont="1" applyFill="1" applyBorder="1" applyAlignment="1">
      <alignment horizontal="center" vertical="top"/>
    </xf>
    <xf numFmtId="180" fontId="9" fillId="4" borderId="10" xfId="0" applyNumberFormat="1" applyFont="1" applyFill="1" applyBorder="1" applyAlignment="1">
      <alignment horizontal="center" vertical="top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top" wrapText="1"/>
    </xf>
    <xf numFmtId="212" fontId="5" fillId="4" borderId="10" xfId="64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205" fontId="5" fillId="4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185" fontId="0" fillId="4" borderId="0" xfId="0" applyNumberForma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185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18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180" fontId="0" fillId="4" borderId="0" xfId="0" applyNumberFormat="1" applyFill="1" applyAlignment="1">
      <alignment/>
    </xf>
    <xf numFmtId="190" fontId="39" fillId="0" borderId="10" xfId="0" applyNumberFormat="1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top"/>
    </xf>
    <xf numFmtId="0" fontId="1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185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top"/>
    </xf>
    <xf numFmtId="2" fontId="5" fillId="4" borderId="10" xfId="0" applyNumberFormat="1" applyFont="1" applyFill="1" applyBorder="1" applyAlignment="1">
      <alignment horizontal="center" vertical="top"/>
    </xf>
    <xf numFmtId="180" fontId="5" fillId="4" borderId="10" xfId="0" applyNumberFormat="1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/>
    </xf>
    <xf numFmtId="180" fontId="5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 wrapText="1"/>
    </xf>
    <xf numFmtId="4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4" fontId="5" fillId="4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horizontal="center" vertical="top"/>
    </xf>
    <xf numFmtId="180" fontId="5" fillId="4" borderId="10" xfId="0" applyNumberFormat="1" applyFont="1" applyFill="1" applyBorder="1" applyAlignment="1">
      <alignment horizontal="center" vertical="top"/>
    </xf>
    <xf numFmtId="185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185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15" fillId="4" borderId="10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18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left" vertical="top" wrapText="1"/>
    </xf>
    <xf numFmtId="4" fontId="5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horizontal="left" vertical="top" wrapText="1"/>
    </xf>
    <xf numFmtId="185" fontId="14" fillId="0" borderId="10" xfId="0" applyNumberFormat="1" applyFont="1" applyBorder="1" applyAlignment="1">
      <alignment horizontal="center" vertical="top" wrapText="1"/>
    </xf>
    <xf numFmtId="180" fontId="1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14" fillId="0" borderId="10" xfId="54" applyNumberFormat="1" applyFont="1" applyBorder="1" applyAlignment="1">
      <alignment horizontal="center" vertical="top" wrapText="1"/>
      <protection/>
    </xf>
    <xf numFmtId="4" fontId="5" fillId="0" borderId="10" xfId="54" applyNumberFormat="1" applyFont="1" applyBorder="1" applyAlignment="1">
      <alignment horizontal="center" vertical="top" wrapText="1"/>
      <protection/>
    </xf>
    <xf numFmtId="3" fontId="6" fillId="4" borderId="10" xfId="54" applyNumberFormat="1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 vertical="top" wrapText="1"/>
    </xf>
    <xf numFmtId="180" fontId="14" fillId="0" borderId="10" xfId="0" applyNumberFormat="1" applyFont="1" applyBorder="1" applyAlignment="1">
      <alignment horizontal="center" vertical="top"/>
    </xf>
    <xf numFmtId="185" fontId="5" fillId="4" borderId="10" xfId="53" applyNumberFormat="1" applyFont="1" applyFill="1" applyBorder="1" applyAlignment="1">
      <alignment horizontal="center"/>
      <protection/>
    </xf>
    <xf numFmtId="4" fontId="5" fillId="4" borderId="10" xfId="0" applyNumberFormat="1" applyFont="1" applyFill="1" applyBorder="1" applyAlignment="1">
      <alignment horizontal="center"/>
    </xf>
    <xf numFmtId="0" fontId="5" fillId="4" borderId="10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185" fontId="14" fillId="0" borderId="10" xfId="55" applyNumberFormat="1" applyFont="1" applyBorder="1" applyAlignment="1">
      <alignment horizontal="center" vertical="top" wrapText="1"/>
      <protection/>
    </xf>
    <xf numFmtId="0" fontId="5" fillId="4" borderId="10" xfId="53" applyFont="1" applyFill="1" applyBorder="1" applyAlignment="1">
      <alignment horizontal="left" vertical="top" wrapText="1"/>
      <protection/>
    </xf>
    <xf numFmtId="0" fontId="5" fillId="4" borderId="10" xfId="53" applyFont="1" applyFill="1" applyBorder="1">
      <alignment/>
      <protection/>
    </xf>
    <xf numFmtId="0" fontId="5" fillId="4" borderId="10" xfId="53" applyFont="1" applyFill="1" applyBorder="1">
      <alignment/>
      <protection/>
    </xf>
    <xf numFmtId="185" fontId="5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left" vertical="center" wrapText="1"/>
    </xf>
    <xf numFmtId="0" fontId="0" fillId="4" borderId="0" xfId="0" applyFont="1" applyFill="1" applyAlignment="1">
      <alignment/>
    </xf>
    <xf numFmtId="4" fontId="15" fillId="4" borderId="10" xfId="0" applyNumberFormat="1" applyFont="1" applyFill="1" applyBorder="1" applyAlignment="1">
      <alignment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54" applyFont="1" applyBorder="1" applyAlignment="1">
      <alignment vertical="top" wrapText="1"/>
      <protection/>
    </xf>
    <xf numFmtId="4" fontId="5" fillId="4" borderId="10" xfId="0" applyNumberFormat="1" applyFont="1" applyFill="1" applyBorder="1" applyAlignment="1">
      <alignment horizontal="left"/>
    </xf>
    <xf numFmtId="185" fontId="5" fillId="4" borderId="10" xfId="0" applyNumberFormat="1" applyFont="1" applyFill="1" applyBorder="1" applyAlignment="1">
      <alignment horizontal="left"/>
    </xf>
    <xf numFmtId="180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wrapText="1"/>
    </xf>
    <xf numFmtId="185" fontId="5" fillId="4" borderId="10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vertical="center" wrapText="1"/>
    </xf>
    <xf numFmtId="4" fontId="9" fillId="4" borderId="10" xfId="0" applyNumberFormat="1" applyFont="1" applyFill="1" applyBorder="1" applyAlignment="1">
      <alignment horizontal="center" wrapText="1"/>
    </xf>
    <xf numFmtId="190" fontId="5" fillId="4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4" fontId="9" fillId="4" borderId="10" xfId="0" applyNumberFormat="1" applyFont="1" applyFill="1" applyBorder="1" applyAlignment="1">
      <alignment horizontal="right" wrapText="1"/>
    </xf>
    <xf numFmtId="4" fontId="5" fillId="4" borderId="1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wrapText="1"/>
    </xf>
    <xf numFmtId="4" fontId="5" fillId="4" borderId="10" xfId="0" applyNumberFormat="1" applyFont="1" applyFill="1" applyBorder="1" applyAlignment="1">
      <alignment horizontal="center" vertical="top" wrapText="1"/>
    </xf>
    <xf numFmtId="180" fontId="5" fillId="4" borderId="1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0" fontId="0" fillId="4" borderId="0" xfId="0" applyFill="1" applyAlignment="1">
      <alignment vertical="top"/>
    </xf>
    <xf numFmtId="0" fontId="5" fillId="0" borderId="1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left"/>
    </xf>
    <xf numFmtId="185" fontId="5" fillId="4" borderId="10" xfId="0" applyNumberFormat="1" applyFont="1" applyFill="1" applyBorder="1" applyAlignment="1">
      <alignment horizontal="left"/>
    </xf>
    <xf numFmtId="4" fontId="5" fillId="4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14" fillId="4" borderId="10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90" fontId="5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 wrapText="1"/>
    </xf>
    <xf numFmtId="190" fontId="3" fillId="4" borderId="10" xfId="0" applyNumberFormat="1" applyFont="1" applyFill="1" applyBorder="1" applyAlignment="1">
      <alignment horizontal="center"/>
    </xf>
    <xf numFmtId="185" fontId="3" fillId="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left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wrapText="1"/>
    </xf>
    <xf numFmtId="4" fontId="5" fillId="4" borderId="10" xfId="0" applyNumberFormat="1" applyFont="1" applyFill="1" applyBorder="1" applyAlignment="1">
      <alignment vertical="center" wrapText="1"/>
    </xf>
    <xf numFmtId="1" fontId="6" fillId="4" borderId="10" xfId="0" applyNumberFormat="1" applyFont="1" applyFill="1" applyBorder="1" applyAlignment="1">
      <alignment horizontal="left" vertical="center" wrapText="1"/>
    </xf>
    <xf numFmtId="180" fontId="5" fillId="4" borderId="10" xfId="0" applyNumberFormat="1" applyFont="1" applyFill="1" applyBorder="1" applyAlignment="1">
      <alignment vertical="center" wrapText="1"/>
    </xf>
    <xf numFmtId="1" fontId="5" fillId="4" borderId="10" xfId="0" applyNumberFormat="1" applyFont="1" applyFill="1" applyBorder="1" applyAlignment="1">
      <alignment horizontal="left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212" fontId="5" fillId="4" borderId="10" xfId="64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15" fillId="4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180" fontId="36" fillId="4" borderId="10" xfId="0" applyNumberFormat="1" applyFont="1" applyFill="1" applyBorder="1" applyAlignment="1">
      <alignment horizontal="center" vertical="center" wrapText="1"/>
    </xf>
    <xf numFmtId="4" fontId="36" fillId="4" borderId="10" xfId="0" applyNumberFormat="1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196" fontId="5" fillId="0" borderId="10" xfId="0" applyNumberFormat="1" applyFont="1" applyFill="1" applyBorder="1" applyAlignment="1">
      <alignment horizontal="center" vertical="top"/>
    </xf>
    <xf numFmtId="180" fontId="7" fillId="0" borderId="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80" fontId="5" fillId="4" borderId="10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center" vertical="top" wrapText="1"/>
      <protection/>
    </xf>
    <xf numFmtId="1" fontId="5" fillId="0" borderId="10" xfId="55" applyNumberFormat="1" applyFont="1" applyBorder="1" applyAlignment="1">
      <alignment horizontal="center" vertical="top" wrapText="1"/>
      <protection/>
    </xf>
    <xf numFmtId="3" fontId="5" fillId="0" borderId="10" xfId="55" applyNumberFormat="1" applyFont="1" applyBorder="1" applyAlignment="1">
      <alignment horizontal="center" vertical="top" wrapText="1"/>
      <protection/>
    </xf>
    <xf numFmtId="1" fontId="5" fillId="0" borderId="10" xfId="53" applyNumberFormat="1" applyFont="1" applyBorder="1" applyAlignment="1">
      <alignment horizontal="center" vertical="top" wrapText="1"/>
      <protection/>
    </xf>
    <xf numFmtId="4" fontId="5" fillId="0" borderId="10" xfId="53" applyNumberFormat="1" applyFont="1" applyBorder="1" applyAlignment="1">
      <alignment horizontal="center" vertical="top" wrapText="1"/>
      <protection/>
    </xf>
    <xf numFmtId="2" fontId="5" fillId="0" borderId="10" xfId="55" applyNumberFormat="1" applyFont="1" applyBorder="1" applyAlignment="1">
      <alignment horizontal="center" vertical="top" wrapText="1"/>
      <protection/>
    </xf>
    <xf numFmtId="4" fontId="5" fillId="0" borderId="10" xfId="55" applyNumberFormat="1" applyFont="1" applyBorder="1" applyAlignment="1">
      <alignment horizontal="center" vertical="top" wrapText="1"/>
      <protection/>
    </xf>
    <xf numFmtId="2" fontId="5" fillId="0" borderId="10" xfId="53" applyNumberFormat="1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185" fontId="5" fillId="0" borderId="10" xfId="53" applyNumberFormat="1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4" borderId="10" xfId="53" applyFont="1" applyFill="1" applyBorder="1" applyAlignment="1">
      <alignment vertical="top" wrapText="1"/>
      <protection/>
    </xf>
    <xf numFmtId="0" fontId="5" fillId="0" borderId="10" xfId="53" applyFont="1" applyBorder="1">
      <alignment/>
      <protection/>
    </xf>
    <xf numFmtId="0" fontId="5" fillId="4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1" fontId="5" fillId="0" borderId="10" xfId="0" applyNumberFormat="1" applyFont="1" applyBorder="1" applyAlignment="1">
      <alignment horizontal="center" vertical="top" wrapText="1"/>
    </xf>
    <xf numFmtId="185" fontId="5" fillId="0" borderId="10" xfId="0" applyNumberFormat="1" applyFont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3" fontId="5" fillId="0" borderId="10" xfId="54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Border="1" applyAlignment="1">
      <alignment horizontal="center" vertical="top"/>
    </xf>
    <xf numFmtId="196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90" fontId="3" fillId="0" borderId="10" xfId="0" applyNumberFormat="1" applyFont="1" applyBorder="1" applyAlignment="1">
      <alignment horizontal="center" wrapText="1"/>
    </xf>
    <xf numFmtId="185" fontId="3" fillId="0" borderId="10" xfId="0" applyNumberFormat="1" applyFont="1" applyBorder="1" applyAlignment="1">
      <alignment horizontal="center" wrapText="1"/>
    </xf>
    <xf numFmtId="3" fontId="5" fillId="4" borderId="10" xfId="54" applyNumberFormat="1" applyFont="1" applyFill="1" applyBorder="1" applyAlignment="1">
      <alignment horizontal="center" vertical="center" wrapText="1"/>
      <protection/>
    </xf>
    <xf numFmtId="188" fontId="5" fillId="4" borderId="10" xfId="64" applyNumberFormat="1" applyFont="1" applyFill="1" applyBorder="1" applyAlignment="1">
      <alignment horizontal="center" vertical="center" wrapText="1"/>
    </xf>
    <xf numFmtId="4" fontId="5" fillId="4" borderId="10" xfId="64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/>
    </xf>
    <xf numFmtId="3" fontId="5" fillId="4" borderId="10" xfId="0" applyNumberFormat="1" applyFont="1" applyFill="1" applyBorder="1" applyAlignment="1">
      <alignment horizontal="center" vertical="top"/>
    </xf>
    <xf numFmtId="196" fontId="5" fillId="4" borderId="10" xfId="0" applyNumberFormat="1" applyFont="1" applyFill="1" applyBorder="1" applyAlignment="1">
      <alignment horizontal="center" vertical="top"/>
    </xf>
    <xf numFmtId="0" fontId="5" fillId="4" borderId="10" xfId="64" applyNumberFormat="1" applyFont="1" applyFill="1" applyBorder="1" applyAlignment="1">
      <alignment horizontal="left" vertical="center" wrapText="1"/>
    </xf>
    <xf numFmtId="3" fontId="17" fillId="4" borderId="10" xfId="0" applyNumberFormat="1" applyFont="1" applyFill="1" applyBorder="1" applyAlignment="1">
      <alignment horizontal="center" vertical="center" wrapText="1"/>
    </xf>
    <xf numFmtId="180" fontId="17" fillId="4" borderId="10" xfId="0" applyNumberFormat="1" applyFont="1" applyFill="1" applyBorder="1" applyAlignment="1">
      <alignment horizontal="center" vertical="center" wrapText="1"/>
    </xf>
    <xf numFmtId="4" fontId="17" fillId="4" borderId="10" xfId="0" applyNumberFormat="1" applyFont="1" applyFill="1" applyBorder="1" applyAlignment="1">
      <alignment horizontal="center" vertical="center" wrapText="1"/>
    </xf>
    <xf numFmtId="185" fontId="17" fillId="4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4" fontId="3" fillId="19" borderId="10" xfId="0" applyNumberFormat="1" applyFont="1" applyFill="1" applyBorder="1" applyAlignment="1">
      <alignment horizontal="center" vertical="center" wrapText="1"/>
    </xf>
    <xf numFmtId="180" fontId="3" fillId="19" borderId="10" xfId="0" applyNumberFormat="1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center" vertical="top"/>
    </xf>
    <xf numFmtId="180" fontId="3" fillId="19" borderId="10" xfId="0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0" fontId="3" fillId="19" borderId="10" xfId="0" applyFont="1" applyFill="1" applyBorder="1" applyAlignment="1">
      <alignment horizontal="center" vertical="top" wrapText="1"/>
    </xf>
    <xf numFmtId="180" fontId="3" fillId="20" borderId="10" xfId="0" applyNumberFormat="1" applyFont="1" applyFill="1" applyBorder="1" applyAlignment="1">
      <alignment horizontal="center" vertical="top" wrapText="1"/>
    </xf>
    <xf numFmtId="196" fontId="3" fillId="19" borderId="10" xfId="0" applyNumberFormat="1" applyFont="1" applyFill="1" applyBorder="1" applyAlignment="1">
      <alignment horizontal="center" vertical="top" wrapText="1"/>
    </xf>
    <xf numFmtId="2" fontId="3" fillId="19" borderId="10" xfId="0" applyNumberFormat="1" applyFont="1" applyFill="1" applyBorder="1" applyAlignment="1">
      <alignment horizontal="center" vertical="top" wrapText="1"/>
    </xf>
    <xf numFmtId="180" fontId="3" fillId="19" borderId="10" xfId="0" applyNumberFormat="1" applyFont="1" applyFill="1" applyBorder="1" applyAlignment="1">
      <alignment horizontal="center" vertical="top" wrapText="1"/>
    </xf>
    <xf numFmtId="185" fontId="3" fillId="19" borderId="10" xfId="0" applyNumberFormat="1" applyFont="1" applyFill="1" applyBorder="1" applyAlignment="1">
      <alignment horizontal="center" vertical="top" wrapText="1"/>
    </xf>
    <xf numFmtId="4" fontId="3" fillId="19" borderId="10" xfId="0" applyNumberFormat="1" applyFont="1" applyFill="1" applyBorder="1" applyAlignment="1">
      <alignment horizontal="center" vertical="top" wrapText="1"/>
    </xf>
    <xf numFmtId="180" fontId="15" fillId="19" borderId="10" xfId="0" applyNumberFormat="1" applyFont="1" applyFill="1" applyBorder="1" applyAlignment="1">
      <alignment horizontal="center" vertical="top" wrapText="1"/>
    </xf>
    <xf numFmtId="49" fontId="3" fillId="19" borderId="10" xfId="56" applyNumberFormat="1" applyFont="1" applyFill="1" applyBorder="1" applyAlignment="1">
      <alignment horizontal="center" vertical="center"/>
      <protection/>
    </xf>
    <xf numFmtId="196" fontId="3" fillId="19" borderId="10" xfId="0" applyNumberFormat="1" applyFont="1" applyFill="1" applyBorder="1" applyAlignment="1">
      <alignment horizontal="center" vertical="center"/>
    </xf>
    <xf numFmtId="185" fontId="3" fillId="19" borderId="10" xfId="0" applyNumberFormat="1" applyFont="1" applyFill="1" applyBorder="1" applyAlignment="1">
      <alignment horizontal="center" vertical="center"/>
    </xf>
    <xf numFmtId="4" fontId="3" fillId="19" borderId="10" xfId="0" applyNumberFormat="1" applyFont="1" applyFill="1" applyBorder="1" applyAlignment="1">
      <alignment horizontal="center" vertical="center"/>
    </xf>
    <xf numFmtId="180" fontId="3" fillId="19" borderId="10" xfId="0" applyNumberFormat="1" applyFont="1" applyFill="1" applyBorder="1" applyAlignment="1">
      <alignment horizontal="center" vertical="center"/>
    </xf>
    <xf numFmtId="180" fontId="3" fillId="19" borderId="10" xfId="56" applyNumberFormat="1" applyFont="1" applyFill="1" applyBorder="1" applyAlignment="1">
      <alignment horizontal="center" vertical="center"/>
      <protection/>
    </xf>
    <xf numFmtId="9" fontId="15" fillId="19" borderId="10" xfId="61" applyFont="1" applyFill="1" applyBorder="1" applyAlignment="1">
      <alignment horizontal="center" vertical="center" wrapText="1"/>
    </xf>
    <xf numFmtId="1" fontId="11" fillId="19" borderId="10" xfId="0" applyNumberFormat="1" applyFont="1" applyFill="1" applyBorder="1" applyAlignment="1">
      <alignment horizontal="center" vertical="center" wrapText="1"/>
    </xf>
    <xf numFmtId="180" fontId="11" fillId="19" borderId="10" xfId="0" applyNumberFormat="1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top" wrapText="1"/>
    </xf>
    <xf numFmtId="0" fontId="11" fillId="19" borderId="10" xfId="0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center"/>
    </xf>
    <xf numFmtId="185" fontId="3" fillId="19" borderId="10" xfId="56" applyNumberFormat="1" applyFont="1" applyFill="1" applyBorder="1" applyAlignment="1">
      <alignment horizontal="center" vertical="center"/>
      <protection/>
    </xf>
    <xf numFmtId="4" fontId="3" fillId="19" borderId="10" xfId="56" applyNumberFormat="1" applyFont="1" applyFill="1" applyBorder="1" applyAlignment="1">
      <alignment horizontal="center" vertical="center"/>
      <protection/>
    </xf>
    <xf numFmtId="0" fontId="5" fillId="19" borderId="10" xfId="0" applyFont="1" applyFill="1" applyBorder="1" applyAlignment="1">
      <alignment vertical="top" wrapText="1"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53" applyNumberFormat="1" applyFont="1" applyFill="1" applyBorder="1" applyAlignment="1">
      <alignment horizontal="center" vertical="center"/>
      <protection/>
    </xf>
    <xf numFmtId="190" fontId="3" fillId="19" borderId="10" xfId="53" applyNumberFormat="1" applyFont="1" applyFill="1" applyBorder="1" applyAlignment="1">
      <alignment horizontal="center" vertical="center"/>
      <protection/>
    </xf>
    <xf numFmtId="180" fontId="3" fillId="19" borderId="10" xfId="53" applyNumberFormat="1" applyFont="1" applyFill="1" applyBorder="1" applyAlignment="1">
      <alignment horizontal="center" vertical="center"/>
      <protection/>
    </xf>
    <xf numFmtId="0" fontId="15" fillId="19" borderId="10" xfId="53" applyFont="1" applyFill="1" applyBorder="1" applyAlignment="1">
      <alignment horizontal="left" vertical="center" wrapText="1"/>
      <protection/>
    </xf>
    <xf numFmtId="4" fontId="5" fillId="19" borderId="10" xfId="54" applyNumberFormat="1" applyFont="1" applyFill="1" applyBorder="1" applyAlignment="1">
      <alignment horizontal="center" vertical="top" wrapText="1"/>
      <protection/>
    </xf>
    <xf numFmtId="180" fontId="5" fillId="19" borderId="10" xfId="54" applyNumberFormat="1" applyFont="1" applyFill="1" applyBorder="1" applyAlignment="1">
      <alignment horizontal="center" vertical="top" wrapText="1"/>
      <protection/>
    </xf>
    <xf numFmtId="0" fontId="5" fillId="19" borderId="10" xfId="0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180" fontId="3" fillId="19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2" fontId="3" fillId="19" borderId="10" xfId="0" applyNumberFormat="1" applyFont="1" applyFill="1" applyBorder="1" applyAlignment="1">
      <alignment horizont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180" fontId="15" fillId="19" borderId="10" xfId="0" applyNumberFormat="1" applyFont="1" applyFill="1" applyBorder="1" applyAlignment="1">
      <alignment horizontal="center" vertical="center" wrapText="1"/>
    </xf>
    <xf numFmtId="3" fontId="6" fillId="19" borderId="10" xfId="54" applyNumberFormat="1" applyFont="1" applyFill="1" applyBorder="1" applyAlignment="1">
      <alignment horizontal="center" vertical="top" wrapText="1"/>
      <protection/>
    </xf>
    <xf numFmtId="4" fontId="15" fillId="19" borderId="10" xfId="0" applyNumberFormat="1" applyFont="1" applyFill="1" applyBorder="1" applyAlignment="1">
      <alignment vertical="center" wrapText="1"/>
    </xf>
    <xf numFmtId="190" fontId="3" fillId="19" borderId="10" xfId="0" applyNumberFormat="1" applyFont="1" applyFill="1" applyBorder="1" applyAlignment="1">
      <alignment horizontal="center" vertical="top" wrapText="1"/>
    </xf>
    <xf numFmtId="0" fontId="4" fillId="19" borderId="10" xfId="53" applyFont="1" applyFill="1" applyBorder="1" applyAlignment="1">
      <alignment horizontal="left" vertical="center" wrapText="1"/>
      <protection/>
    </xf>
    <xf numFmtId="0" fontId="3" fillId="19" borderId="10" xfId="53" applyFont="1" applyFill="1" applyBorder="1" applyAlignment="1">
      <alignment horizontal="center" vertical="center" wrapText="1"/>
      <protection/>
    </xf>
    <xf numFmtId="0" fontId="3" fillId="19" borderId="10" xfId="0" applyFont="1" applyFill="1" applyBorder="1" applyAlignment="1">
      <alignment horizontal="center" wrapText="1"/>
    </xf>
    <xf numFmtId="185" fontId="3" fillId="19" borderId="10" xfId="0" applyNumberFormat="1" applyFont="1" applyFill="1" applyBorder="1" applyAlignment="1">
      <alignment horizontal="center" wrapText="1"/>
    </xf>
    <xf numFmtId="190" fontId="3" fillId="19" borderId="10" xfId="0" applyNumberFormat="1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4" fontId="3" fillId="19" borderId="10" xfId="0" applyNumberFormat="1" applyFont="1" applyFill="1" applyBorder="1" applyAlignment="1">
      <alignment horizontal="center" wrapText="1"/>
    </xf>
    <xf numFmtId="185" fontId="3" fillId="4" borderId="10" xfId="0" applyNumberFormat="1" applyFont="1" applyFill="1" applyBorder="1" applyAlignment="1">
      <alignment horizontal="center" vertical="top"/>
    </xf>
    <xf numFmtId="4" fontId="6" fillId="4" borderId="10" xfId="0" applyNumberFormat="1" applyFont="1" applyFill="1" applyBorder="1" applyAlignment="1">
      <alignment vertical="top"/>
    </xf>
    <xf numFmtId="4" fontId="3" fillId="19" borderId="10" xfId="0" applyNumberFormat="1" applyFont="1" applyFill="1" applyBorder="1" applyAlignment="1">
      <alignment horizontal="left" vertical="top" wrapText="1"/>
    </xf>
    <xf numFmtId="0" fontId="3" fillId="19" borderId="10" xfId="54" applyFont="1" applyFill="1" applyBorder="1" applyAlignment="1">
      <alignment horizontal="center" vertical="center" wrapText="1"/>
      <protection/>
    </xf>
    <xf numFmtId="4" fontId="3" fillId="19" borderId="10" xfId="54" applyNumberFormat="1" applyFont="1" applyFill="1" applyBorder="1" applyAlignment="1">
      <alignment horizontal="center" vertical="center" wrapText="1"/>
      <protection/>
    </xf>
    <xf numFmtId="180" fontId="15" fillId="19" borderId="10" xfId="0" applyNumberFormat="1" applyFont="1" applyFill="1" applyBorder="1" applyAlignment="1">
      <alignment horizontal="center" vertical="center"/>
    </xf>
    <xf numFmtId="3" fontId="3" fillId="21" borderId="10" xfId="0" applyNumberFormat="1" applyFont="1" applyFill="1" applyBorder="1" applyAlignment="1">
      <alignment horizontal="center" vertical="top" wrapText="1"/>
    </xf>
    <xf numFmtId="180" fontId="3" fillId="21" borderId="10" xfId="0" applyNumberFormat="1" applyFont="1" applyFill="1" applyBorder="1" applyAlignment="1">
      <alignment horizontal="center" vertical="top" wrapText="1"/>
    </xf>
    <xf numFmtId="4" fontId="3" fillId="21" borderId="10" xfId="0" applyNumberFormat="1" applyFont="1" applyFill="1" applyBorder="1" applyAlignment="1">
      <alignment horizontal="center" vertical="top" wrapText="1"/>
    </xf>
    <xf numFmtId="4" fontId="3" fillId="21" borderId="10" xfId="0" applyNumberFormat="1" applyFont="1" applyFill="1" applyBorder="1" applyAlignment="1">
      <alignment vertical="top" wrapText="1"/>
    </xf>
    <xf numFmtId="0" fontId="3" fillId="21" borderId="10" xfId="0" applyFont="1" applyFill="1" applyBorder="1" applyAlignment="1">
      <alignment horizontal="center" vertical="top" wrapText="1"/>
    </xf>
    <xf numFmtId="2" fontId="3" fillId="19" borderId="10" xfId="0" applyNumberFormat="1" applyFont="1" applyFill="1" applyBorder="1" applyAlignment="1">
      <alignment horizontal="left" vertical="center" wrapText="1"/>
    </xf>
    <xf numFmtId="4" fontId="3" fillId="19" borderId="10" xfId="0" applyNumberFormat="1" applyFont="1" applyFill="1" applyBorder="1" applyAlignment="1">
      <alignment horizontal="center"/>
    </xf>
    <xf numFmtId="2" fontId="3" fillId="19" borderId="10" xfId="0" applyNumberFormat="1" applyFont="1" applyFill="1" applyBorder="1" applyAlignment="1">
      <alignment horizontal="center"/>
    </xf>
    <xf numFmtId="185" fontId="3" fillId="19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center" vertical="center" wrapText="1"/>
    </xf>
    <xf numFmtId="180" fontId="3" fillId="19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2" fontId="3" fillId="19" borderId="10" xfId="0" applyNumberFormat="1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/>
    </xf>
    <xf numFmtId="0" fontId="15" fillId="19" borderId="10" xfId="0" applyFont="1" applyFill="1" applyBorder="1" applyAlignment="1">
      <alignment horizontal="center" wrapText="1"/>
    </xf>
    <xf numFmtId="185" fontId="3" fillId="19" borderId="10" xfId="0" applyNumberFormat="1" applyFont="1" applyFill="1" applyBorder="1" applyAlignment="1">
      <alignment horizontal="center" vertical="center" wrapText="1"/>
    </xf>
    <xf numFmtId="185" fontId="15" fillId="19" borderId="10" xfId="0" applyNumberFormat="1" applyFont="1" applyFill="1" applyBorder="1" applyAlignment="1">
      <alignment horizontal="center" vertical="center"/>
    </xf>
    <xf numFmtId="180" fontId="5" fillId="4" borderId="0" xfId="0" applyNumberFormat="1" applyFont="1" applyFill="1" applyBorder="1" applyAlignment="1">
      <alignment horizontal="center" vertical="top" wrapText="1"/>
    </xf>
    <xf numFmtId="185" fontId="3" fillId="19" borderId="10" xfId="53" applyNumberFormat="1" applyFont="1" applyFill="1" applyBorder="1" applyAlignment="1">
      <alignment horizontal="center"/>
      <protection/>
    </xf>
    <xf numFmtId="4" fontId="6" fillId="19" borderId="10" xfId="0" applyNumberFormat="1" applyFont="1" applyFill="1" applyBorder="1" applyAlignment="1">
      <alignment horizontal="center" vertical="top"/>
    </xf>
    <xf numFmtId="3" fontId="3" fillId="4" borderId="10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 vertical="center"/>
    </xf>
    <xf numFmtId="185" fontId="3" fillId="4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left" vertical="top" wrapText="1"/>
    </xf>
    <xf numFmtId="3" fontId="11" fillId="19" borderId="10" xfId="0" applyNumberFormat="1" applyFont="1" applyFill="1" applyBorder="1" applyAlignment="1">
      <alignment horizontal="center" vertical="center" wrapText="1"/>
    </xf>
    <xf numFmtId="190" fontId="6" fillId="4" borderId="10" xfId="0" applyNumberFormat="1" applyFont="1" applyFill="1" applyBorder="1" applyAlignment="1">
      <alignment vertical="center" wrapText="1"/>
    </xf>
    <xf numFmtId="3" fontId="6" fillId="4" borderId="10" xfId="0" applyNumberFormat="1" applyFont="1" applyFill="1" applyBorder="1" applyAlignment="1">
      <alignment vertical="center" wrapText="1"/>
    </xf>
    <xf numFmtId="2" fontId="3" fillId="19" borderId="10" xfId="0" applyNumberFormat="1" applyFont="1" applyFill="1" applyBorder="1" applyAlignment="1">
      <alignment horizontal="center" vertical="top"/>
    </xf>
    <xf numFmtId="185" fontId="3" fillId="19" borderId="10" xfId="0" applyNumberFormat="1" applyFont="1" applyFill="1" applyBorder="1" applyAlignment="1">
      <alignment horizontal="center" vertical="top"/>
    </xf>
    <xf numFmtId="180" fontId="3" fillId="19" borderId="10" xfId="0" applyNumberFormat="1" applyFont="1" applyFill="1" applyBorder="1" applyAlignment="1">
      <alignment horizontal="center" vertical="top"/>
    </xf>
    <xf numFmtId="49" fontId="3" fillId="19" borderId="10" xfId="0" applyNumberFormat="1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center" vertical="center"/>
    </xf>
    <xf numFmtId="185" fontId="3" fillId="19" borderId="10" xfId="0" applyNumberFormat="1" applyFont="1" applyFill="1" applyBorder="1" applyAlignment="1">
      <alignment horizontal="center" vertical="center"/>
    </xf>
    <xf numFmtId="180" fontId="3" fillId="19" borderId="10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top"/>
    </xf>
    <xf numFmtId="3" fontId="3" fillId="19" borderId="10" xfId="0" applyNumberFormat="1" applyFont="1" applyFill="1" applyBorder="1" applyAlignment="1">
      <alignment horizontal="center" wrapText="1"/>
    </xf>
    <xf numFmtId="180" fontId="3" fillId="19" borderId="10" xfId="0" applyNumberFormat="1" applyFont="1" applyFill="1" applyBorder="1" applyAlignment="1">
      <alignment horizontal="center" wrapText="1"/>
    </xf>
    <xf numFmtId="212" fontId="5" fillId="0" borderId="10" xfId="0" applyNumberFormat="1" applyFont="1" applyFill="1" applyBorder="1" applyAlignment="1">
      <alignment vertical="center" wrapText="1"/>
    </xf>
    <xf numFmtId="188" fontId="5" fillId="4" borderId="10" xfId="66" applyNumberFormat="1" applyFont="1" applyFill="1" applyBorder="1" applyAlignment="1">
      <alignment horizontal="center" vertical="top" wrapText="1"/>
    </xf>
    <xf numFmtId="185" fontId="5" fillId="0" borderId="10" xfId="53" applyNumberFormat="1" applyFont="1" applyBorder="1" applyAlignment="1">
      <alignment horizontal="center"/>
      <protection/>
    </xf>
    <xf numFmtId="2" fontId="5" fillId="4" borderId="10" xfId="53" applyNumberFormat="1" applyFont="1" applyFill="1" applyBorder="1" applyAlignment="1">
      <alignment horizontal="center"/>
      <protection/>
    </xf>
    <xf numFmtId="196" fontId="5" fillId="0" borderId="10" xfId="5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3" fillId="19" borderId="10" xfId="0" applyNumberFormat="1" applyFont="1" applyFill="1" applyBorder="1" applyAlignment="1">
      <alignment horizontal="center"/>
    </xf>
    <xf numFmtId="185" fontId="5" fillId="0" borderId="10" xfId="0" applyNumberFormat="1" applyFont="1" applyBorder="1" applyAlignment="1">
      <alignment horizontal="center" wrapText="1"/>
    </xf>
    <xf numFmtId="4" fontId="3" fillId="18" borderId="10" xfId="0" applyNumberFormat="1" applyFont="1" applyFill="1" applyBorder="1" applyAlignment="1">
      <alignment horizontal="center" vertical="top"/>
    </xf>
    <xf numFmtId="180" fontId="5" fillId="18" borderId="10" xfId="0" applyNumberFormat="1" applyFont="1" applyFill="1" applyBorder="1" applyAlignment="1">
      <alignment horizontal="center" vertical="top"/>
    </xf>
    <xf numFmtId="185" fontId="3" fillId="18" borderId="10" xfId="0" applyNumberFormat="1" applyFont="1" applyFill="1" applyBorder="1" applyAlignment="1">
      <alignment horizontal="center" vertical="top"/>
    </xf>
    <xf numFmtId="180" fontId="3" fillId="18" borderId="10" xfId="0" applyNumberFormat="1" applyFont="1" applyFill="1" applyBorder="1" applyAlignment="1">
      <alignment horizontal="center" vertical="top"/>
    </xf>
    <xf numFmtId="4" fontId="6" fillId="18" borderId="10" xfId="0" applyNumberFormat="1" applyFont="1" applyFill="1" applyBorder="1" applyAlignment="1">
      <alignment vertical="top"/>
    </xf>
    <xf numFmtId="180" fontId="3" fillId="19" borderId="10" xfId="54" applyNumberFormat="1" applyFont="1" applyFill="1" applyBorder="1" applyAlignment="1">
      <alignment horizontal="center" vertical="center" wrapText="1"/>
      <protection/>
    </xf>
    <xf numFmtId="180" fontId="9" fillId="0" borderId="10" xfId="54" applyNumberFormat="1" applyFont="1" applyFill="1" applyBorder="1" applyAlignment="1">
      <alignment horizontal="center" vertical="center" wrapText="1"/>
      <protection/>
    </xf>
    <xf numFmtId="0" fontId="4" fillId="18" borderId="10" xfId="0" applyFont="1" applyFill="1" applyBorder="1" applyAlignment="1">
      <alignment vertical="top" wrapText="1"/>
    </xf>
    <xf numFmtId="0" fontId="3" fillId="18" borderId="10" xfId="0" applyFont="1" applyFill="1" applyBorder="1" applyAlignment="1">
      <alignment horizontal="center" vertical="top" wrapText="1"/>
    </xf>
    <xf numFmtId="180" fontId="3" fillId="18" borderId="10" xfId="0" applyNumberFormat="1" applyFont="1" applyFill="1" applyBorder="1" applyAlignment="1">
      <alignment horizontal="center" vertical="top" wrapText="1"/>
    </xf>
    <xf numFmtId="180" fontId="3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/>
    </xf>
    <xf numFmtId="4" fontId="5" fillId="4" borderId="0" xfId="0" applyNumberFormat="1" applyFont="1" applyFill="1" applyBorder="1" applyAlignment="1">
      <alignment vertical="top" wrapText="1"/>
    </xf>
    <xf numFmtId="180" fontId="5" fillId="4" borderId="10" xfId="0" applyNumberFormat="1" applyFont="1" applyFill="1" applyBorder="1" applyAlignment="1">
      <alignment vertical="top" wrapText="1"/>
    </xf>
    <xf numFmtId="4" fontId="5" fillId="4" borderId="10" xfId="0" applyNumberFormat="1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center" wrapText="1"/>
    </xf>
    <xf numFmtId="0" fontId="40" fillId="18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80" fontId="9" fillId="4" borderId="10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vertical="top" wrapText="1"/>
    </xf>
    <xf numFmtId="4" fontId="6" fillId="4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4" fontId="3" fillId="19" borderId="10" xfId="0" applyNumberFormat="1" applyFont="1" applyFill="1" applyBorder="1" applyAlignment="1">
      <alignment horizontal="center" vertical="top"/>
    </xf>
    <xf numFmtId="180" fontId="6" fillId="4" borderId="10" xfId="0" applyNumberFormat="1" applyFont="1" applyFill="1" applyBorder="1" applyAlignment="1">
      <alignment horizontal="center" vertical="top" wrapText="1"/>
    </xf>
    <xf numFmtId="185" fontId="6" fillId="4" borderId="10" xfId="0" applyNumberFormat="1" applyFont="1" applyFill="1" applyBorder="1" applyAlignment="1">
      <alignment horizontal="center"/>
    </xf>
    <xf numFmtId="4" fontId="41" fillId="19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4" fillId="18" borderId="10" xfId="0" applyFont="1" applyFill="1" applyBorder="1" applyAlignment="1">
      <alignment vertical="top"/>
    </xf>
    <xf numFmtId="221" fontId="5" fillId="0" borderId="10" xfId="0" applyNumberFormat="1" applyFont="1" applyBorder="1" applyAlignment="1" applyProtection="1">
      <alignment horizontal="center" vertical="center" wrapText="1"/>
      <protection/>
    </xf>
    <xf numFmtId="22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212" fontId="5" fillId="4" borderId="10" xfId="64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4" borderId="10" xfId="64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205" fontId="5" fillId="4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5" fillId="4" borderId="10" xfId="64" applyNumberFormat="1" applyFont="1" applyFill="1" applyBorder="1" applyAlignment="1">
      <alignment horizontal="center" vertical="center" wrapText="1"/>
    </xf>
    <xf numFmtId="2" fontId="3" fillId="19" borderId="10" xfId="56" applyNumberFormat="1" applyFont="1" applyFill="1" applyBorder="1" applyAlignment="1">
      <alignment horizontal="center" vertical="center"/>
      <protection/>
    </xf>
    <xf numFmtId="179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top"/>
    </xf>
    <xf numFmtId="2" fontId="3" fillId="4" borderId="10" xfId="0" applyNumberFormat="1" applyFont="1" applyFill="1" applyBorder="1" applyAlignment="1">
      <alignment horizontal="center" vertical="top"/>
    </xf>
    <xf numFmtId="180" fontId="3" fillId="4" borderId="10" xfId="0" applyNumberFormat="1" applyFont="1" applyFill="1" applyBorder="1" applyAlignment="1">
      <alignment horizontal="center" vertical="top"/>
    </xf>
    <xf numFmtId="3" fontId="3" fillId="4" borderId="10" xfId="0" applyNumberFormat="1" applyFont="1" applyFill="1" applyBorder="1" applyAlignment="1">
      <alignment horizontal="center" vertical="top"/>
    </xf>
    <xf numFmtId="194" fontId="5" fillId="4" borderId="10" xfId="0" applyNumberFormat="1" applyFont="1" applyFill="1" applyBorder="1" applyAlignment="1">
      <alignment horizontal="center" vertical="top"/>
    </xf>
    <xf numFmtId="196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4" fontId="5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/>
    </xf>
    <xf numFmtId="185" fontId="3" fillId="4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vertical="top" wrapText="1"/>
    </xf>
    <xf numFmtId="0" fontId="11" fillId="4" borderId="10" xfId="0" applyFont="1" applyFill="1" applyBorder="1" applyAlignment="1">
      <alignment horizontal="center" vertical="center"/>
    </xf>
    <xf numFmtId="185" fontId="11" fillId="4" borderId="10" xfId="0" applyNumberFormat="1" applyFont="1" applyFill="1" applyBorder="1" applyAlignment="1">
      <alignment horizontal="center" vertical="center"/>
    </xf>
    <xf numFmtId="4" fontId="11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190" fontId="11" fillId="4" borderId="10" xfId="0" applyNumberFormat="1" applyFont="1" applyFill="1" applyBorder="1" applyAlignment="1">
      <alignment horizontal="center" vertical="center" wrapText="1"/>
    </xf>
    <xf numFmtId="180" fontId="11" fillId="4" borderId="10" xfId="0" applyNumberFormat="1" applyFont="1" applyFill="1" applyBorder="1" applyAlignment="1">
      <alignment horizontal="center" vertical="center" wrapText="1"/>
    </xf>
    <xf numFmtId="185" fontId="11" fillId="4" borderId="10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 vertical="center"/>
    </xf>
    <xf numFmtId="180" fontId="11" fillId="4" borderId="10" xfId="54" applyNumberFormat="1" applyFont="1" applyFill="1" applyBorder="1" applyAlignment="1">
      <alignment horizontal="center" vertical="center" wrapText="1"/>
      <protection/>
    </xf>
    <xf numFmtId="4" fontId="11" fillId="4" borderId="10" xfId="0" applyNumberFormat="1" applyFont="1" applyFill="1" applyBorder="1" applyAlignment="1">
      <alignment horizontal="center" vertical="top" wrapText="1"/>
    </xf>
    <xf numFmtId="2" fontId="11" fillId="4" borderId="1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vertical="center" wrapText="1"/>
      <protection/>
    </xf>
    <xf numFmtId="185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5" fillId="0" borderId="10" xfId="53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204" fontId="5" fillId="4" borderId="10" xfId="66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 wrapText="1"/>
    </xf>
    <xf numFmtId="186" fontId="5" fillId="0" borderId="10" xfId="64" applyNumberFormat="1" applyFont="1" applyFill="1" applyBorder="1" applyAlignment="1">
      <alignment horizontal="left" vertical="top" wrapText="1"/>
    </xf>
    <xf numFmtId="0" fontId="5" fillId="0" borderId="10" xfId="64" applyNumberFormat="1" applyFont="1" applyFill="1" applyBorder="1" applyAlignment="1">
      <alignment horizontal="left" vertical="top" wrapText="1"/>
    </xf>
    <xf numFmtId="187" fontId="5" fillId="0" borderId="10" xfId="64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left" vertical="center" wrapText="1"/>
    </xf>
    <xf numFmtId="21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 applyProtection="1">
      <alignment horizontal="center" vertical="center" wrapText="1"/>
      <protection/>
    </xf>
    <xf numFmtId="205" fontId="5" fillId="0" borderId="10" xfId="0" applyNumberFormat="1" applyFont="1" applyFill="1" applyBorder="1" applyAlignment="1">
      <alignment horizontal="center" vertical="center" wrapText="1"/>
    </xf>
    <xf numFmtId="21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19" borderId="10" xfId="53" applyFont="1" applyFill="1" applyBorder="1" applyAlignment="1">
      <alignment horizontal="left" vertical="center" wrapText="1"/>
      <protection/>
    </xf>
    <xf numFmtId="185" fontId="5" fillId="19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3" fontId="5" fillId="20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5" fillId="2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vertical="top" wrapText="1"/>
    </xf>
    <xf numFmtId="0" fontId="3" fillId="20" borderId="10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left" vertical="top" wrapText="1"/>
    </xf>
    <xf numFmtId="4" fontId="5" fillId="20" borderId="10" xfId="0" applyNumberFormat="1" applyFont="1" applyFill="1" applyBorder="1" applyAlignment="1">
      <alignment horizontal="center" vertical="center" wrapText="1"/>
    </xf>
    <xf numFmtId="2" fontId="5" fillId="20" borderId="10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vertical="top" wrapText="1"/>
    </xf>
    <xf numFmtId="4" fontId="5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top" wrapText="1"/>
    </xf>
    <xf numFmtId="4" fontId="3" fillId="20" borderId="10" xfId="0" applyNumberFormat="1" applyFont="1" applyFill="1" applyBorder="1" applyAlignment="1">
      <alignment vertical="top" wrapText="1"/>
    </xf>
    <xf numFmtId="4" fontId="5" fillId="4" borderId="10" xfId="0" applyNumberFormat="1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 wrapText="1"/>
    </xf>
    <xf numFmtId="180" fontId="9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90" fontId="5" fillId="4" borderId="10" xfId="0" applyNumberFormat="1" applyFont="1" applyFill="1" applyBorder="1" applyAlignment="1">
      <alignment horizontal="left" vertical="center"/>
    </xf>
    <xf numFmtId="190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4" fontId="5" fillId="0" borderId="10" xfId="54" applyNumberFormat="1" applyFont="1" applyBorder="1" applyAlignment="1">
      <alignment horizontal="center" vertical="center" wrapText="1"/>
      <protection/>
    </xf>
    <xf numFmtId="185" fontId="5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center"/>
    </xf>
    <xf numFmtId="190" fontId="3" fillId="19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Alignment="1">
      <alignment horizontal="center" vertical="center"/>
    </xf>
    <xf numFmtId="180" fontId="9" fillId="4" borderId="10" xfId="0" applyNumberFormat="1" applyFont="1" applyFill="1" applyBorder="1" applyAlignment="1">
      <alignment horizontal="center" vertical="center"/>
    </xf>
    <xf numFmtId="4" fontId="11" fillId="19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vertical="center" wrapText="1"/>
    </xf>
    <xf numFmtId="190" fontId="41" fillId="19" borderId="10" xfId="0" applyNumberFormat="1" applyFont="1" applyFill="1" applyBorder="1" applyAlignment="1">
      <alignment horizontal="center" vertical="center"/>
    </xf>
    <xf numFmtId="4" fontId="42" fillId="19" borderId="10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 wrapText="1"/>
    </xf>
    <xf numFmtId="190" fontId="3" fillId="4" borderId="10" xfId="0" applyNumberFormat="1" applyFont="1" applyFill="1" applyBorder="1" applyAlignment="1">
      <alignment horizontal="center" vertical="center" wrapText="1"/>
    </xf>
    <xf numFmtId="196" fontId="3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 wrapText="1"/>
    </xf>
    <xf numFmtId="180" fontId="3" fillId="18" borderId="10" xfId="0" applyNumberFormat="1" applyFont="1" applyFill="1" applyBorder="1" applyAlignment="1">
      <alignment horizontal="center" vertical="center" wrapText="1"/>
    </xf>
    <xf numFmtId="4" fontId="3" fillId="19" borderId="10" xfId="54" applyNumberFormat="1" applyFont="1" applyFill="1" applyBorder="1" applyAlignment="1">
      <alignment horizontal="center" vertical="center" wrapText="1"/>
      <protection/>
    </xf>
    <xf numFmtId="185" fontId="3" fillId="19" borderId="10" xfId="0" applyNumberFormat="1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221" fontId="5" fillId="0" borderId="10" xfId="0" applyNumberFormat="1" applyFont="1" applyBorder="1" applyAlignment="1" applyProtection="1">
      <alignment horizontal="center" vertical="center" wrapText="1"/>
      <protection/>
    </xf>
    <xf numFmtId="221" fontId="5" fillId="0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3" fontId="5" fillId="20" borderId="10" xfId="0" applyNumberFormat="1" applyFont="1" applyFill="1" applyBorder="1" applyAlignment="1">
      <alignment horizontal="center" vertical="center" wrapText="1"/>
    </xf>
    <xf numFmtId="190" fontId="5" fillId="2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3" fillId="20" borderId="10" xfId="0" applyFont="1" applyFill="1" applyBorder="1" applyAlignment="1">
      <alignment vertical="top" wrapText="1"/>
    </xf>
    <xf numFmtId="3" fontId="3" fillId="20" borderId="10" xfId="0" applyNumberFormat="1" applyFont="1" applyFill="1" applyBorder="1" applyAlignment="1">
      <alignment horizontal="center" vertical="top" wrapText="1"/>
    </xf>
    <xf numFmtId="204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5" fillId="2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left" vertical="top" wrapText="1"/>
    </xf>
    <xf numFmtId="2" fontId="5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top" wrapText="1"/>
    </xf>
    <xf numFmtId="4" fontId="3" fillId="20" borderId="10" xfId="0" applyNumberFormat="1" applyFont="1" applyFill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vertical="top" wrapText="1"/>
    </xf>
    <xf numFmtId="3" fontId="3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center" vertical="center" wrapText="1"/>
    </xf>
    <xf numFmtId="180" fontId="3" fillId="2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20" borderId="10" xfId="0" applyNumberFormat="1" applyFont="1" applyFill="1" applyBorder="1" applyAlignment="1">
      <alignment horizontal="center" vertical="top" wrapText="1"/>
    </xf>
    <xf numFmtId="4" fontId="3" fillId="20" borderId="10" xfId="0" applyNumberFormat="1" applyFont="1" applyFill="1" applyBorder="1" applyAlignment="1">
      <alignment horizontal="center" vertical="top" wrapText="1"/>
    </xf>
    <xf numFmtId="2" fontId="3" fillId="20" borderId="10" xfId="0" applyNumberFormat="1" applyFont="1" applyFill="1" applyBorder="1" applyAlignment="1">
      <alignment horizontal="center" vertical="top" wrapText="1"/>
    </xf>
    <xf numFmtId="180" fontId="3" fillId="2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185" fontId="5" fillId="0" borderId="10" xfId="0" applyNumberFormat="1" applyFont="1" applyFill="1" applyBorder="1" applyAlignment="1">
      <alignment horizontal="center" wrapText="1"/>
    </xf>
    <xf numFmtId="190" fontId="3" fillId="20" borderId="10" xfId="0" applyNumberFormat="1" applyFont="1" applyFill="1" applyBorder="1" applyAlignment="1">
      <alignment horizontal="center" vertical="top" wrapText="1"/>
    </xf>
    <xf numFmtId="185" fontId="3" fillId="20" borderId="10" xfId="0" applyNumberFormat="1" applyFont="1" applyFill="1" applyBorder="1" applyAlignment="1">
      <alignment horizontal="center" vertical="top" wrapText="1"/>
    </xf>
    <xf numFmtId="3" fontId="3" fillId="21" borderId="10" xfId="0" applyNumberFormat="1" applyFont="1" applyFill="1" applyBorder="1" applyAlignment="1">
      <alignment horizontal="center" vertical="top" wrapText="1"/>
    </xf>
    <xf numFmtId="190" fontId="3" fillId="21" borderId="10" xfId="0" applyNumberFormat="1" applyFont="1" applyFill="1" applyBorder="1" applyAlignment="1">
      <alignment horizontal="center" vertical="top" wrapText="1"/>
    </xf>
    <xf numFmtId="4" fontId="3" fillId="21" borderId="10" xfId="0" applyNumberFormat="1" applyFont="1" applyFill="1" applyBorder="1" applyAlignment="1">
      <alignment horizontal="center" vertical="top" wrapText="1"/>
    </xf>
    <xf numFmtId="4" fontId="3" fillId="21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196" fontId="3" fillId="4" borderId="10" xfId="0" applyNumberFormat="1" applyFont="1" applyFill="1" applyBorder="1" applyAlignment="1">
      <alignment horizontal="center" vertical="center"/>
    </xf>
    <xf numFmtId="185" fontId="3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56" applyNumberFormat="1" applyFont="1" applyFill="1" applyBorder="1" applyAlignment="1">
      <alignment horizontal="center" vertical="center"/>
      <protection/>
    </xf>
    <xf numFmtId="19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/>
    </xf>
    <xf numFmtId="1" fontId="6" fillId="0" borderId="10" xfId="0" applyNumberFormat="1" applyFont="1" applyBorder="1" applyAlignment="1">
      <alignment horizontal="left" vertical="center" wrapText="1"/>
    </xf>
    <xf numFmtId="4" fontId="5" fillId="4" borderId="10" xfId="0" applyNumberFormat="1" applyFont="1" applyFill="1" applyBorder="1" applyAlignment="1" applyProtection="1">
      <alignment horizontal="center" vertical="center"/>
      <protection/>
    </xf>
    <xf numFmtId="196" fontId="5" fillId="0" borderId="10" xfId="54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/>
    </xf>
    <xf numFmtId="4" fontId="3" fillId="19" borderId="10" xfId="53" applyNumberFormat="1" applyFont="1" applyFill="1" applyBorder="1" applyAlignment="1">
      <alignment horizontal="center"/>
      <protection/>
    </xf>
    <xf numFmtId="180" fontId="3" fillId="19" borderId="10" xfId="53" applyNumberFormat="1" applyFont="1" applyFill="1" applyBorder="1" applyAlignment="1">
      <alignment horizontal="center"/>
      <protection/>
    </xf>
    <xf numFmtId="4" fontId="3" fillId="19" borderId="10" xfId="53" applyNumberFormat="1" applyFont="1" applyFill="1" applyBorder="1">
      <alignment/>
      <protection/>
    </xf>
    <xf numFmtId="0" fontId="5" fillId="4" borderId="10" xfId="54" applyFont="1" applyFill="1" applyBorder="1" applyAlignment="1">
      <alignment vertical="top" wrapText="1"/>
      <protection/>
    </xf>
    <xf numFmtId="0" fontId="3" fillId="4" borderId="10" xfId="0" applyFont="1" applyFill="1" applyBorder="1" applyAlignment="1">
      <alignment/>
    </xf>
    <xf numFmtId="4" fontId="5" fillId="20" borderId="10" xfId="0" applyNumberFormat="1" applyFont="1" applyFill="1" applyBorder="1" applyAlignment="1">
      <alignment vertical="center" wrapText="1"/>
    </xf>
    <xf numFmtId="0" fontId="5" fillId="20" borderId="10" xfId="0" applyFont="1" applyFill="1" applyBorder="1" applyAlignment="1">
      <alignment vertical="top" wrapText="1"/>
    </xf>
    <xf numFmtId="0" fontId="11" fillId="19" borderId="10" xfId="0" applyFont="1" applyFill="1" applyBorder="1" applyAlignment="1">
      <alignment horizontal="left" vertical="center" wrapText="1"/>
    </xf>
    <xf numFmtId="4" fontId="11" fillId="19" borderId="10" xfId="0" applyNumberFormat="1" applyFont="1" applyFill="1" applyBorder="1" applyAlignment="1">
      <alignment horizontal="center" vertical="top"/>
    </xf>
    <xf numFmtId="180" fontId="11" fillId="19" borderId="10" xfId="0" applyNumberFormat="1" applyFont="1" applyFill="1" applyBorder="1" applyAlignment="1">
      <alignment horizontal="center" vertical="top"/>
    </xf>
    <xf numFmtId="196" fontId="5" fillId="0" borderId="10" xfId="54" applyNumberFormat="1" applyFont="1" applyBorder="1" applyAlignment="1">
      <alignment horizontal="center" vertical="top" wrapText="1"/>
      <protection/>
    </xf>
    <xf numFmtId="4" fontId="14" fillId="4" borderId="0" xfId="0" applyNumberFormat="1" applyFont="1" applyFill="1" applyBorder="1" applyAlignment="1">
      <alignment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/>
    </xf>
    <xf numFmtId="4" fontId="15" fillId="18" borderId="10" xfId="0" applyNumberFormat="1" applyFont="1" applyFill="1" applyBorder="1" applyAlignment="1">
      <alignment horizontal="center" vertical="top"/>
    </xf>
    <xf numFmtId="4" fontId="15" fillId="19" borderId="10" xfId="54" applyNumberFormat="1" applyFont="1" applyFill="1" applyBorder="1" applyAlignment="1">
      <alignment horizontal="center" vertical="center" wrapText="1"/>
      <protection/>
    </xf>
    <xf numFmtId="4" fontId="15" fillId="18" borderId="10" xfId="0" applyNumberFormat="1" applyFont="1" applyFill="1" applyBorder="1" applyAlignment="1">
      <alignment horizontal="center" vertical="center" wrapText="1"/>
    </xf>
    <xf numFmtId="4" fontId="15" fillId="18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85" fontId="3" fillId="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wrapText="1"/>
    </xf>
    <xf numFmtId="0" fontId="5" fillId="19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/>
    </xf>
    <xf numFmtId="4" fontId="5" fillId="4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center"/>
    </xf>
    <xf numFmtId="1" fontId="5" fillId="4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80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vertical="center" wrapText="1"/>
    </xf>
    <xf numFmtId="190" fontId="5" fillId="4" borderId="10" xfId="0" applyNumberFormat="1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wrapText="1"/>
    </xf>
    <xf numFmtId="0" fontId="3" fillId="19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3" fillId="4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0" fillId="19" borderId="10" xfId="0" applyFont="1" applyFill="1" applyBorder="1" applyAlignment="1">
      <alignment vertical="center" wrapText="1"/>
    </xf>
    <xf numFmtId="2" fontId="3" fillId="19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center" wrapText="1"/>
    </xf>
    <xf numFmtId="0" fontId="3" fillId="19" borderId="10" xfId="54" applyFont="1" applyFill="1" applyBorder="1" applyAlignment="1">
      <alignment horizontal="left" vertical="top" wrapText="1"/>
      <protection/>
    </xf>
    <xf numFmtId="0" fontId="5" fillId="19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20" borderId="10" xfId="0" applyFont="1" applyFill="1" applyBorder="1" applyAlignment="1">
      <alignment horizontal="left" vertical="top" wrapText="1"/>
    </xf>
    <xf numFmtId="0" fontId="37" fillId="18" borderId="10" xfId="0" applyFont="1" applyFill="1" applyBorder="1" applyAlignment="1">
      <alignment horizontal="center" vertical="top" wrapText="1"/>
    </xf>
    <xf numFmtId="49" fontId="3" fillId="19" borderId="10" xfId="0" applyNumberFormat="1" applyFont="1" applyFill="1" applyBorder="1" applyAlignment="1">
      <alignment horizontal="left" vertical="top"/>
    </xf>
    <xf numFmtId="0" fontId="3" fillId="19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" fontId="6" fillId="0" borderId="10" xfId="0" applyNumberFormat="1" applyFont="1" applyBorder="1" applyAlignment="1">
      <alignment horizontal="lef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Обычный_Результаты оценки эффективност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A830"/>
  <sheetViews>
    <sheetView tabSelected="1" zoomScale="110" zoomScaleNormal="110" workbookViewId="0" topLeftCell="A1">
      <pane ySplit="5" topLeftCell="BM6" activePane="bottomLeft" state="frozen"/>
      <selection pane="topLeft" activeCell="A1" sqref="A1"/>
      <selection pane="bottomLeft" activeCell="K399" sqref="K399"/>
    </sheetView>
  </sheetViews>
  <sheetFormatPr defaultColWidth="9.00390625" defaultRowHeight="12.75"/>
  <cols>
    <col min="1" max="1" width="43.875" style="0" customWidth="1"/>
    <col min="2" max="2" width="10.125" style="0" customWidth="1"/>
    <col min="3" max="3" width="9.25390625" style="0" customWidth="1"/>
    <col min="4" max="4" width="9.00390625" style="0" customWidth="1"/>
    <col min="5" max="5" width="12.125" style="0" customWidth="1"/>
    <col min="6" max="6" width="14.875" style="0" customWidth="1"/>
    <col min="7" max="7" width="14.375" style="0" customWidth="1"/>
    <col min="8" max="8" width="12.75390625" style="0" bestFit="1" customWidth="1"/>
    <col min="9" max="9" width="10.00390625" style="0" customWidth="1"/>
    <col min="10" max="10" width="28.75390625" style="0" customWidth="1"/>
    <col min="11" max="11" width="15.625" style="0" bestFit="1" customWidth="1"/>
    <col min="12" max="12" width="14.375" style="0" bestFit="1" customWidth="1"/>
    <col min="13" max="13" width="14.75390625" style="0" customWidth="1"/>
  </cols>
  <sheetData>
    <row r="1" spans="1:10" s="5" customFormat="1" ht="15.75" customHeight="1">
      <c r="A1" s="784" t="s">
        <v>42</v>
      </c>
      <c r="B1" s="784"/>
      <c r="C1" s="784"/>
      <c r="D1" s="784"/>
      <c r="E1" s="784"/>
      <c r="F1" s="784"/>
      <c r="G1" s="784"/>
      <c r="H1" s="784"/>
      <c r="I1" s="784"/>
      <c r="J1" s="784"/>
    </row>
    <row r="2" spans="1:10" s="5" customFormat="1" ht="18.75" customHeight="1">
      <c r="A2" s="785"/>
      <c r="B2" s="785"/>
      <c r="C2" s="785"/>
      <c r="D2" s="785"/>
      <c r="E2" s="785"/>
      <c r="F2" s="785"/>
      <c r="G2" s="785"/>
      <c r="H2" s="785"/>
      <c r="I2" s="785"/>
      <c r="J2" s="785"/>
    </row>
    <row r="3" spans="1:10" s="5" customFormat="1" ht="39.75" customHeight="1">
      <c r="A3" s="786" t="s">
        <v>279</v>
      </c>
      <c r="B3" s="786" t="s">
        <v>397</v>
      </c>
      <c r="C3" s="786"/>
      <c r="D3" s="786"/>
      <c r="E3" s="786" t="s">
        <v>124</v>
      </c>
      <c r="F3" s="786" t="s">
        <v>394</v>
      </c>
      <c r="G3" s="786"/>
      <c r="H3" s="786" t="s">
        <v>664</v>
      </c>
      <c r="I3" s="786" t="s">
        <v>665</v>
      </c>
      <c r="J3" s="766" t="s">
        <v>393</v>
      </c>
    </row>
    <row r="4" spans="1:10" s="5" customFormat="1" ht="25.5">
      <c r="A4" s="786"/>
      <c r="B4" s="2" t="s">
        <v>280</v>
      </c>
      <c r="C4" s="2" t="s">
        <v>281</v>
      </c>
      <c r="D4" s="2" t="s">
        <v>282</v>
      </c>
      <c r="E4" s="786"/>
      <c r="F4" s="2" t="s">
        <v>280</v>
      </c>
      <c r="G4" s="2" t="s">
        <v>281</v>
      </c>
      <c r="H4" s="786"/>
      <c r="I4" s="786"/>
      <c r="J4" s="766"/>
    </row>
    <row r="5" spans="1:15" s="5" customFormat="1" ht="12.75">
      <c r="A5" s="2">
        <v>1</v>
      </c>
      <c r="B5" s="2">
        <v>2</v>
      </c>
      <c r="C5" s="2">
        <v>3</v>
      </c>
      <c r="D5" s="2" t="s">
        <v>667</v>
      </c>
      <c r="E5" s="2" t="s">
        <v>390</v>
      </c>
      <c r="F5" s="2">
        <v>6</v>
      </c>
      <c r="G5" s="2">
        <v>7</v>
      </c>
      <c r="H5" s="2" t="s">
        <v>395</v>
      </c>
      <c r="I5" s="2" t="s">
        <v>391</v>
      </c>
      <c r="J5" s="668">
        <v>10</v>
      </c>
      <c r="K5" s="7"/>
      <c r="L5" s="7"/>
      <c r="M5" s="7"/>
      <c r="N5" s="7"/>
      <c r="O5" s="7"/>
    </row>
    <row r="6" spans="1:10" s="5" customFormat="1" ht="15" customHeight="1">
      <c r="A6" s="767" t="s">
        <v>666</v>
      </c>
      <c r="B6" s="767"/>
      <c r="C6" s="767"/>
      <c r="D6" s="767"/>
      <c r="E6" s="767"/>
      <c r="F6" s="767"/>
      <c r="G6" s="767"/>
      <c r="H6" s="767"/>
      <c r="I6" s="767"/>
      <c r="J6" s="767"/>
    </row>
    <row r="7" spans="1:10" s="5" customFormat="1" ht="12.75" customHeight="1">
      <c r="A7" s="789" t="s">
        <v>43</v>
      </c>
      <c r="B7" s="789"/>
      <c r="C7" s="789"/>
      <c r="D7" s="789"/>
      <c r="E7" s="789"/>
      <c r="F7" s="789"/>
      <c r="G7" s="789"/>
      <c r="H7" s="789"/>
      <c r="I7" s="789"/>
      <c r="J7" s="789"/>
    </row>
    <row r="8" spans="1:10" s="5" customFormat="1" ht="12.75">
      <c r="A8" s="669" t="s">
        <v>506</v>
      </c>
      <c r="B8" s="24"/>
      <c r="C8" s="24"/>
      <c r="D8" s="24"/>
      <c r="E8" s="495"/>
      <c r="F8" s="496"/>
      <c r="G8" s="496"/>
      <c r="H8" s="495"/>
      <c r="I8" s="495"/>
      <c r="J8" s="221"/>
    </row>
    <row r="9" spans="1:11" s="5" customFormat="1" ht="65.25" customHeight="1">
      <c r="A9" s="357" t="s">
        <v>507</v>
      </c>
      <c r="B9" s="8"/>
      <c r="C9" s="8"/>
      <c r="D9" s="8"/>
      <c r="E9" s="13"/>
      <c r="F9" s="297">
        <v>5800974.1</v>
      </c>
      <c r="G9" s="12">
        <v>5800974.1</v>
      </c>
      <c r="H9" s="13"/>
      <c r="I9" s="13"/>
      <c r="J9" s="46"/>
      <c r="K9" s="41"/>
    </row>
    <row r="10" spans="1:11" s="5" customFormat="1" ht="38.25">
      <c r="A10" s="357" t="s">
        <v>148</v>
      </c>
      <c r="B10" s="8">
        <v>11</v>
      </c>
      <c r="C10" s="8">
        <v>11</v>
      </c>
      <c r="D10" s="8">
        <f>C10-B10</f>
        <v>0</v>
      </c>
      <c r="E10" s="12">
        <f>C10/B10</f>
        <v>1</v>
      </c>
      <c r="F10" s="524"/>
      <c r="G10" s="12"/>
      <c r="H10" s="13"/>
      <c r="I10" s="13"/>
      <c r="J10" s="46"/>
      <c r="K10" s="41"/>
    </row>
    <row r="11" spans="1:11" s="5" customFormat="1" ht="25.5">
      <c r="A11" s="357" t="s">
        <v>139</v>
      </c>
      <c r="B11" s="8"/>
      <c r="C11" s="8"/>
      <c r="D11" s="8"/>
      <c r="E11" s="12"/>
      <c r="F11" s="524"/>
      <c r="G11" s="12">
        <f>G12/G33</f>
        <v>0.0698654494551988</v>
      </c>
      <c r="H11" s="13"/>
      <c r="I11" s="13"/>
      <c r="J11" s="46"/>
      <c r="K11" s="41"/>
    </row>
    <row r="12" spans="1:11" s="5" customFormat="1" ht="12.75">
      <c r="A12" s="357" t="s">
        <v>138</v>
      </c>
      <c r="B12" s="8">
        <v>11</v>
      </c>
      <c r="C12" s="8">
        <v>11</v>
      </c>
      <c r="D12" s="8">
        <f>C12-B12</f>
        <v>0</v>
      </c>
      <c r="E12" s="12">
        <f>C12/B12</f>
        <v>1</v>
      </c>
      <c r="F12" s="524">
        <v>5800974.1</v>
      </c>
      <c r="G12" s="12">
        <v>5800974.1</v>
      </c>
      <c r="H12" s="13">
        <f>G12/F12</f>
        <v>1</v>
      </c>
      <c r="I12" s="13">
        <f>E12/H12</f>
        <v>1</v>
      </c>
      <c r="J12" s="46"/>
      <c r="K12" s="41"/>
    </row>
    <row r="13" spans="1:11" s="5" customFormat="1" ht="15">
      <c r="A13" s="669" t="s">
        <v>576</v>
      </c>
      <c r="B13" s="315"/>
      <c r="C13" s="315"/>
      <c r="D13" s="315"/>
      <c r="E13" s="316"/>
      <c r="F13" s="317"/>
      <c r="G13" s="317"/>
      <c r="H13" s="316"/>
      <c r="I13" s="316"/>
      <c r="J13" s="318"/>
      <c r="K13" s="41"/>
    </row>
    <row r="14" spans="1:11" s="5" customFormat="1" ht="117" customHeight="1">
      <c r="A14" s="111" t="s">
        <v>136</v>
      </c>
      <c r="B14" s="102"/>
      <c r="C14" s="102"/>
      <c r="D14" s="103"/>
      <c r="E14" s="104"/>
      <c r="F14" s="105">
        <v>85459279.2</v>
      </c>
      <c r="G14" s="106">
        <v>77201711.67</v>
      </c>
      <c r="H14" s="13"/>
      <c r="I14" s="107"/>
      <c r="J14" s="108" t="s">
        <v>135</v>
      </c>
      <c r="K14" s="41"/>
    </row>
    <row r="15" spans="1:11" s="5" customFormat="1" ht="25.5">
      <c r="A15" s="357" t="s">
        <v>137</v>
      </c>
      <c r="B15" s="102">
        <v>3923.45</v>
      </c>
      <c r="C15" s="102">
        <v>3923.45</v>
      </c>
      <c r="D15" s="103">
        <f>C15-B15</f>
        <v>0</v>
      </c>
      <c r="E15" s="104">
        <f>C15/B15</f>
        <v>1</v>
      </c>
      <c r="F15" s="670"/>
      <c r="G15" s="671"/>
      <c r="H15" s="13"/>
      <c r="I15" s="107"/>
      <c r="J15" s="672"/>
      <c r="K15" s="41"/>
    </row>
    <row r="16" spans="1:11" s="5" customFormat="1" ht="12.75">
      <c r="A16" s="357" t="s">
        <v>130</v>
      </c>
      <c r="B16" s="97">
        <v>90</v>
      </c>
      <c r="C16" s="97">
        <v>90</v>
      </c>
      <c r="D16" s="103">
        <f>C16-B16</f>
        <v>0</v>
      </c>
      <c r="E16" s="104">
        <f>C16/B16</f>
        <v>1</v>
      </c>
      <c r="F16" s="514"/>
      <c r="G16" s="515"/>
      <c r="H16" s="13"/>
      <c r="I16" s="516"/>
      <c r="J16" s="34"/>
      <c r="K16" s="41"/>
    </row>
    <row r="17" spans="1:11" s="5" customFormat="1" ht="25.5">
      <c r="A17" s="357" t="s">
        <v>139</v>
      </c>
      <c r="B17" s="97"/>
      <c r="C17" s="97"/>
      <c r="D17" s="69"/>
      <c r="E17" s="89"/>
      <c r="F17" s="514"/>
      <c r="G17" s="515">
        <f>G14/G33</f>
        <v>0.9297976842432751</v>
      </c>
      <c r="H17" s="13"/>
      <c r="I17" s="516"/>
      <c r="J17" s="34"/>
      <c r="K17" s="41"/>
    </row>
    <row r="18" spans="1:11" s="5" customFormat="1" ht="12.75">
      <c r="A18" s="357" t="s">
        <v>138</v>
      </c>
      <c r="B18" s="97"/>
      <c r="C18" s="97"/>
      <c r="D18" s="69"/>
      <c r="E18" s="89">
        <f>(E15+E16)/2</f>
        <v>1</v>
      </c>
      <c r="F18" s="514">
        <v>85459279.2</v>
      </c>
      <c r="G18" s="515">
        <v>77201711.67</v>
      </c>
      <c r="H18" s="13">
        <f>G18/F18</f>
        <v>0.9033742431799027</v>
      </c>
      <c r="I18" s="96">
        <f>E18/H18</f>
        <v>1.1069609384478043</v>
      </c>
      <c r="J18" s="34"/>
      <c r="K18" s="41"/>
    </row>
    <row r="19" spans="1:12" s="5" customFormat="1" ht="15">
      <c r="A19" s="774" t="s">
        <v>577</v>
      </c>
      <c r="B19" s="774"/>
      <c r="C19" s="774"/>
      <c r="D19" s="774"/>
      <c r="E19" s="774"/>
      <c r="F19" s="774"/>
      <c r="G19" s="774"/>
      <c r="H19" s="774"/>
      <c r="I19" s="774"/>
      <c r="J19" s="774"/>
      <c r="K19" s="319"/>
      <c r="L19" s="319"/>
    </row>
    <row r="20" spans="1:11" s="5" customFormat="1" ht="93.75" customHeight="1">
      <c r="A20" s="111" t="s">
        <v>637</v>
      </c>
      <c r="B20" s="102"/>
      <c r="C20" s="102"/>
      <c r="D20" s="103"/>
      <c r="E20" s="104"/>
      <c r="F20" s="110">
        <v>262454.76</v>
      </c>
      <c r="G20" s="106">
        <v>0</v>
      </c>
      <c r="H20" s="13"/>
      <c r="I20" s="107"/>
      <c r="J20" s="111" t="s">
        <v>141</v>
      </c>
      <c r="K20" s="41"/>
    </row>
    <row r="21" spans="1:11" s="5" customFormat="1" ht="12.75">
      <c r="A21" s="673" t="s">
        <v>142</v>
      </c>
      <c r="B21" s="102">
        <v>0.5303</v>
      </c>
      <c r="C21" s="102">
        <v>0.5303</v>
      </c>
      <c r="D21" s="103">
        <f>C21-B21</f>
        <v>0</v>
      </c>
      <c r="E21" s="522">
        <f>C21/B21</f>
        <v>1</v>
      </c>
      <c r="F21" s="110"/>
      <c r="G21" s="106"/>
      <c r="H21" s="13"/>
      <c r="I21" s="107"/>
      <c r="J21" s="111"/>
      <c r="K21" s="41"/>
    </row>
    <row r="22" spans="1:11" s="5" customFormat="1" ht="63.75">
      <c r="A22" s="111" t="s">
        <v>140</v>
      </c>
      <c r="B22" s="102">
        <v>2</v>
      </c>
      <c r="C22" s="102">
        <v>0</v>
      </c>
      <c r="D22" s="103">
        <f>C22-B22</f>
        <v>-2</v>
      </c>
      <c r="E22" s="522">
        <v>0</v>
      </c>
      <c r="F22" s="105"/>
      <c r="G22" s="106"/>
      <c r="H22" s="109"/>
      <c r="I22" s="107"/>
      <c r="J22" s="108"/>
      <c r="K22" s="41"/>
    </row>
    <row r="23" spans="1:11" s="5" customFormat="1" ht="12.75">
      <c r="A23" s="520" t="s">
        <v>143</v>
      </c>
      <c r="B23" s="112">
        <v>1</v>
      </c>
      <c r="C23" s="102">
        <v>1</v>
      </c>
      <c r="D23" s="112">
        <f>C23-B23</f>
        <v>0</v>
      </c>
      <c r="E23" s="522">
        <f>C23/B23</f>
        <v>1</v>
      </c>
      <c r="F23" s="105"/>
      <c r="G23" s="106"/>
      <c r="H23" s="109"/>
      <c r="I23" s="107"/>
      <c r="J23" s="108"/>
      <c r="K23" s="41"/>
    </row>
    <row r="24" spans="1:11" s="5" customFormat="1" ht="12.75">
      <c r="A24" s="520" t="s">
        <v>144</v>
      </c>
      <c r="B24" s="102">
        <v>1</v>
      </c>
      <c r="C24" s="102">
        <v>0</v>
      </c>
      <c r="D24" s="103">
        <f>C24-B24</f>
        <v>-1</v>
      </c>
      <c r="E24" s="522">
        <f>C24/B24</f>
        <v>0</v>
      </c>
      <c r="F24" s="105"/>
      <c r="G24" s="106"/>
      <c r="H24" s="109"/>
      <c r="I24" s="107"/>
      <c r="J24" s="108"/>
      <c r="K24" s="41"/>
    </row>
    <row r="25" spans="1:11" s="5" customFormat="1" ht="25.5">
      <c r="A25" s="357" t="s">
        <v>139</v>
      </c>
      <c r="B25" s="97"/>
      <c r="C25" s="97"/>
      <c r="D25" s="103"/>
      <c r="E25" s="314"/>
      <c r="F25" s="105"/>
      <c r="G25" s="106">
        <f>G26/G33</f>
        <v>0</v>
      </c>
      <c r="H25" s="519"/>
      <c r="I25" s="516"/>
      <c r="J25" s="26"/>
      <c r="K25" s="41"/>
    </row>
    <row r="26" spans="1:11" s="5" customFormat="1" ht="12.75">
      <c r="A26" s="357" t="s">
        <v>138</v>
      </c>
      <c r="B26" s="97"/>
      <c r="C26" s="97"/>
      <c r="D26" s="103"/>
      <c r="E26" s="522">
        <f>(E21+E22+E23+E24)/4</f>
        <v>0.5</v>
      </c>
      <c r="F26" s="105">
        <f>F20</f>
        <v>262454.76</v>
      </c>
      <c r="G26" s="106">
        <f>G20</f>
        <v>0</v>
      </c>
      <c r="H26" s="525">
        <f>G26/F26</f>
        <v>0</v>
      </c>
      <c r="I26" s="516"/>
      <c r="J26" s="26"/>
      <c r="K26" s="41"/>
    </row>
    <row r="27" spans="1:11" s="5" customFormat="1" ht="12.75">
      <c r="A27" s="806" t="s">
        <v>578</v>
      </c>
      <c r="B27" s="807"/>
      <c r="C27" s="807"/>
      <c r="D27" s="807"/>
      <c r="E27" s="807"/>
      <c r="F27" s="807"/>
      <c r="G27" s="807"/>
      <c r="H27" s="807"/>
      <c r="I27" s="807"/>
      <c r="J27" s="807"/>
      <c r="K27" s="41"/>
    </row>
    <row r="28" spans="1:11" s="5" customFormat="1" ht="38.25">
      <c r="A28" s="357" t="s">
        <v>145</v>
      </c>
      <c r="B28" s="523">
        <v>392</v>
      </c>
      <c r="C28" s="523">
        <v>416.5</v>
      </c>
      <c r="D28" s="523">
        <f>C28-B28</f>
        <v>24.5</v>
      </c>
      <c r="E28" s="644">
        <f>C28/B28</f>
        <v>1.0625</v>
      </c>
      <c r="F28" s="674">
        <v>28662</v>
      </c>
      <c r="G28" s="96">
        <v>27970.23</v>
      </c>
      <c r="H28" s="644"/>
      <c r="I28" s="521"/>
      <c r="J28" s="521"/>
      <c r="K28" s="41"/>
    </row>
    <row r="29" spans="1:11" s="5" customFormat="1" ht="25.5">
      <c r="A29" s="357" t="s">
        <v>146</v>
      </c>
      <c r="B29" s="523">
        <v>392</v>
      </c>
      <c r="C29" s="523">
        <v>416.5</v>
      </c>
      <c r="D29" s="523">
        <f>C29-B29</f>
        <v>24.5</v>
      </c>
      <c r="E29" s="644">
        <f>C29/B29</f>
        <v>1.0625</v>
      </c>
      <c r="F29" s="523"/>
      <c r="G29" s="523"/>
      <c r="H29" s="521"/>
      <c r="I29" s="521"/>
      <c r="J29" s="521"/>
      <c r="K29" s="41"/>
    </row>
    <row r="30" spans="1:11" s="5" customFormat="1" ht="25.5">
      <c r="A30" s="357" t="s">
        <v>147</v>
      </c>
      <c r="B30" s="523">
        <v>31</v>
      </c>
      <c r="C30" s="523">
        <v>31</v>
      </c>
      <c r="D30" s="523">
        <f>C30-B30</f>
        <v>0</v>
      </c>
      <c r="E30" s="523">
        <f>C30/B30</f>
        <v>1</v>
      </c>
      <c r="F30" s="523"/>
      <c r="G30" s="523"/>
      <c r="H30" s="521"/>
      <c r="I30" s="521"/>
      <c r="J30" s="521"/>
      <c r="K30" s="41"/>
    </row>
    <row r="31" spans="1:11" s="5" customFormat="1" ht="25.5">
      <c r="A31" s="357" t="s">
        <v>139</v>
      </c>
      <c r="B31" s="523"/>
      <c r="C31" s="523"/>
      <c r="D31" s="523"/>
      <c r="E31" s="523"/>
      <c r="F31" s="523"/>
      <c r="G31" s="645">
        <f>G32/G33</f>
        <v>0.00033686630152602914</v>
      </c>
      <c r="H31" s="521"/>
      <c r="I31" s="521"/>
      <c r="J31" s="521"/>
      <c r="K31" s="41"/>
    </row>
    <row r="32" spans="1:11" s="5" customFormat="1" ht="12.75">
      <c r="A32" s="357" t="s">
        <v>138</v>
      </c>
      <c r="B32" s="523">
        <f>B28+B29+B30</f>
        <v>815</v>
      </c>
      <c r="C32" s="523">
        <f>C28+C29+C30</f>
        <v>864</v>
      </c>
      <c r="D32" s="523">
        <f>C32-B32</f>
        <v>49</v>
      </c>
      <c r="E32" s="644">
        <f>(E28+E29+E30)/3</f>
        <v>1.0416666666666667</v>
      </c>
      <c r="F32" s="524">
        <f>F28</f>
        <v>28662</v>
      </c>
      <c r="G32" s="524">
        <f>G28</f>
        <v>27970.23</v>
      </c>
      <c r="H32" s="644">
        <f>G32/F32</f>
        <v>0.9758645593468704</v>
      </c>
      <c r="I32" s="644">
        <f>E32/H32</f>
        <v>1.067429549202849</v>
      </c>
      <c r="J32" s="521"/>
      <c r="K32" s="41"/>
    </row>
    <row r="33" spans="1:11" s="5" customFormat="1" ht="12.75" customHeight="1">
      <c r="A33" s="647" t="s">
        <v>398</v>
      </c>
      <c r="B33" s="373">
        <f>B12+B18+B22+B32</f>
        <v>828</v>
      </c>
      <c r="C33" s="373">
        <f>C12+C18+C22+C32</f>
        <v>875</v>
      </c>
      <c r="D33" s="661">
        <f>C33-B33</f>
        <v>47</v>
      </c>
      <c r="E33" s="662">
        <f>(E12+E18+E26+E32)/4</f>
        <v>0.8854166666666667</v>
      </c>
      <c r="F33" s="663">
        <f>F12+F18+F26+F32</f>
        <v>91551370.06</v>
      </c>
      <c r="G33" s="663">
        <f>G12+G18+G26+G32</f>
        <v>83030656</v>
      </c>
      <c r="H33" s="374">
        <f>(H12+H18+H26+H32)/4</f>
        <v>0.7198097006316933</v>
      </c>
      <c r="I33" s="374">
        <f>E33/H33</f>
        <v>1.230070483753747</v>
      </c>
      <c r="J33" s="648"/>
      <c r="K33" s="41"/>
    </row>
    <row r="34" spans="1:11" s="5" customFormat="1" ht="12.75" customHeight="1">
      <c r="A34" s="789" t="s">
        <v>203</v>
      </c>
      <c r="B34" s="789"/>
      <c r="C34" s="789"/>
      <c r="D34" s="789"/>
      <c r="E34" s="789"/>
      <c r="F34" s="789"/>
      <c r="G34" s="789"/>
      <c r="H34" s="789"/>
      <c r="I34" s="789"/>
      <c r="J34" s="789"/>
      <c r="K34" s="41"/>
    </row>
    <row r="35" spans="1:11" s="5" customFormat="1" ht="15.75" customHeight="1">
      <c r="A35" s="768" t="s">
        <v>580</v>
      </c>
      <c r="B35" s="768"/>
      <c r="C35" s="768"/>
      <c r="D35" s="768"/>
      <c r="E35" s="768"/>
      <c r="F35" s="768"/>
      <c r="G35" s="768"/>
      <c r="H35" s="768"/>
      <c r="I35" s="768"/>
      <c r="J35" s="768"/>
      <c r="K35" s="41"/>
    </row>
    <row r="36" spans="1:11" s="5" customFormat="1" ht="26.25" customHeight="1">
      <c r="A36" s="127" t="s">
        <v>625</v>
      </c>
      <c r="B36" s="128"/>
      <c r="C36" s="128"/>
      <c r="D36" s="128"/>
      <c r="E36" s="128"/>
      <c r="F36" s="129">
        <v>58186047</v>
      </c>
      <c r="G36" s="129">
        <v>58186047</v>
      </c>
      <c r="H36" s="130">
        <f>G36/F36</f>
        <v>1</v>
      </c>
      <c r="I36" s="128"/>
      <c r="J36" s="131"/>
      <c r="K36" s="41"/>
    </row>
    <row r="37" spans="1:11" s="5" customFormat="1" ht="76.5">
      <c r="A37" s="132" t="s">
        <v>476</v>
      </c>
      <c r="B37" s="320">
        <v>11</v>
      </c>
      <c r="C37" s="320">
        <v>11</v>
      </c>
      <c r="D37" s="133">
        <f>B37-C37</f>
        <v>0</v>
      </c>
      <c r="E37" s="130">
        <f>C37/B37</f>
        <v>1</v>
      </c>
      <c r="F37" s="134"/>
      <c r="G37" s="134"/>
      <c r="H37" s="129"/>
      <c r="I37" s="135"/>
      <c r="J37" s="136"/>
      <c r="K37" s="41"/>
    </row>
    <row r="38" spans="1:11" s="5" customFormat="1" ht="12.75">
      <c r="A38" s="180" t="s">
        <v>542</v>
      </c>
      <c r="B38" s="535">
        <f>SUM(B37:B37)</f>
        <v>11</v>
      </c>
      <c r="C38" s="535">
        <f>SUM(C37:C37)</f>
        <v>11</v>
      </c>
      <c r="D38" s="536">
        <f>D37</f>
        <v>0</v>
      </c>
      <c r="E38" s="537">
        <f>C38/B38</f>
        <v>1</v>
      </c>
      <c r="F38" s="181">
        <f>F36</f>
        <v>58186047</v>
      </c>
      <c r="G38" s="181">
        <f>G36</f>
        <v>58186047</v>
      </c>
      <c r="H38" s="537">
        <f>G38/F38</f>
        <v>1</v>
      </c>
      <c r="I38" s="537">
        <f>E38/H38</f>
        <v>1</v>
      </c>
      <c r="J38" s="177"/>
      <c r="K38" s="41"/>
    </row>
    <row r="39" spans="1:11" s="5" customFormat="1" ht="23.25" customHeight="1">
      <c r="A39" s="132" t="s">
        <v>627</v>
      </c>
      <c r="B39" s="132"/>
      <c r="C39" s="132"/>
      <c r="D39" s="132"/>
      <c r="E39" s="132"/>
      <c r="F39" s="147"/>
      <c r="G39" s="147">
        <f>G38/G81</f>
        <v>0.21772397963604845</v>
      </c>
      <c r="H39" s="148"/>
      <c r="I39" s="148"/>
      <c r="J39" s="132"/>
      <c r="K39" s="41"/>
    </row>
    <row r="40" spans="1:11" s="5" customFormat="1" ht="15" customHeight="1">
      <c r="A40" s="790" t="s">
        <v>579</v>
      </c>
      <c r="B40" s="790"/>
      <c r="C40" s="790"/>
      <c r="D40" s="790"/>
      <c r="E40" s="790"/>
      <c r="F40" s="790"/>
      <c r="G40" s="790"/>
      <c r="H40" s="790"/>
      <c r="I40" s="790"/>
      <c r="J40" s="790"/>
      <c r="K40" s="41"/>
    </row>
    <row r="41" spans="1:11" s="5" customFormat="1" ht="12.75">
      <c r="A41" s="769" t="s">
        <v>546</v>
      </c>
      <c r="B41" s="770"/>
      <c r="C41" s="770"/>
      <c r="D41" s="770"/>
      <c r="E41" s="770"/>
      <c r="F41" s="770"/>
      <c r="G41" s="770"/>
      <c r="H41" s="770"/>
      <c r="I41" s="770"/>
      <c r="J41" s="770"/>
      <c r="K41" s="41"/>
    </row>
    <row r="42" spans="1:11" s="5" customFormat="1" ht="25.5">
      <c r="A42" s="357" t="s">
        <v>617</v>
      </c>
      <c r="B42" s="111"/>
      <c r="C42" s="111"/>
      <c r="D42" s="111"/>
      <c r="E42" s="111"/>
      <c r="F42" s="137">
        <v>70000</v>
      </c>
      <c r="G42" s="137">
        <v>70000</v>
      </c>
      <c r="H42" s="138">
        <f>G42/F42</f>
        <v>1</v>
      </c>
      <c r="I42" s="139"/>
      <c r="J42" s="111"/>
      <c r="K42" s="126"/>
    </row>
    <row r="43" spans="1:11" s="5" customFormat="1" ht="38.25">
      <c r="A43" s="132" t="s">
        <v>690</v>
      </c>
      <c r="B43" s="322">
        <v>50</v>
      </c>
      <c r="C43" s="322">
        <v>50</v>
      </c>
      <c r="D43" s="133">
        <f>B43-C43</f>
        <v>0</v>
      </c>
      <c r="E43" s="130">
        <f>C43/B43</f>
        <v>1</v>
      </c>
      <c r="F43" s="144"/>
      <c r="G43" s="144"/>
      <c r="H43" s="144"/>
      <c r="I43" s="135"/>
      <c r="J43" s="140"/>
      <c r="K43" s="41"/>
    </row>
    <row r="44" spans="1:11" s="5" customFormat="1" ht="51">
      <c r="A44" s="675" t="s">
        <v>543</v>
      </c>
      <c r="B44" s="322">
        <v>5500</v>
      </c>
      <c r="C44" s="322">
        <f>B44</f>
        <v>5500</v>
      </c>
      <c r="D44" s="133">
        <f>B44-C44</f>
        <v>0</v>
      </c>
      <c r="E44" s="130">
        <f>C44/B44</f>
        <v>1</v>
      </c>
      <c r="F44" s="144"/>
      <c r="G44" s="144"/>
      <c r="H44" s="144"/>
      <c r="I44" s="135"/>
      <c r="J44" s="136"/>
      <c r="K44" s="41"/>
    </row>
    <row r="45" spans="1:11" s="5" customFormat="1" ht="89.25">
      <c r="A45" s="357" t="s">
        <v>544</v>
      </c>
      <c r="B45" s="322">
        <v>3100</v>
      </c>
      <c r="C45" s="322">
        <v>3100</v>
      </c>
      <c r="D45" s="133">
        <f>B45-C45</f>
        <v>0</v>
      </c>
      <c r="E45" s="130">
        <f>C45/B45</f>
        <v>1</v>
      </c>
      <c r="F45" s="144"/>
      <c r="G45" s="144"/>
      <c r="H45" s="144"/>
      <c r="I45" s="135"/>
      <c r="J45" s="136"/>
      <c r="K45" s="41"/>
    </row>
    <row r="46" spans="1:11" s="5" customFormat="1" ht="12.75">
      <c r="A46" s="771" t="s">
        <v>624</v>
      </c>
      <c r="B46" s="770"/>
      <c r="C46" s="770"/>
      <c r="D46" s="770"/>
      <c r="E46" s="770"/>
      <c r="F46" s="770"/>
      <c r="G46" s="770"/>
      <c r="H46" s="770"/>
      <c r="I46" s="770"/>
      <c r="J46" s="770"/>
      <c r="K46" s="41"/>
    </row>
    <row r="47" spans="1:11" s="5" customFormat="1" ht="24.75" customHeight="1">
      <c r="A47" s="141" t="s">
        <v>626</v>
      </c>
      <c r="B47" s="142"/>
      <c r="C47" s="142"/>
      <c r="D47" s="143"/>
      <c r="E47" s="138"/>
      <c r="F47" s="144">
        <v>481000</v>
      </c>
      <c r="G47" s="144">
        <v>481000</v>
      </c>
      <c r="H47" s="138">
        <f>G47/F47</f>
        <v>1</v>
      </c>
      <c r="I47" s="145"/>
      <c r="J47" s="146"/>
      <c r="K47" s="41"/>
    </row>
    <row r="48" spans="1:11" s="5" customFormat="1" ht="12.75">
      <c r="A48" s="676" t="s">
        <v>691</v>
      </c>
      <c r="B48" s="173">
        <v>60</v>
      </c>
      <c r="C48" s="173">
        <v>60</v>
      </c>
      <c r="D48" s="143">
        <f>B48-C48</f>
        <v>0</v>
      </c>
      <c r="E48" s="138">
        <f>C48/B48</f>
        <v>1</v>
      </c>
      <c r="F48" s="144"/>
      <c r="G48" s="144"/>
      <c r="H48" s="144"/>
      <c r="I48" s="145"/>
      <c r="J48" s="140"/>
      <c r="K48" s="41"/>
    </row>
    <row r="49" spans="1:11" s="5" customFormat="1" ht="12.75">
      <c r="A49" s="180" t="s">
        <v>641</v>
      </c>
      <c r="B49" s="535"/>
      <c r="C49" s="535"/>
      <c r="D49" s="536"/>
      <c r="E49" s="537">
        <f>(E43+E44+E45+E48)/4</f>
        <v>1</v>
      </c>
      <c r="F49" s="181">
        <f>F42+F47</f>
        <v>551000</v>
      </c>
      <c r="G49" s="181">
        <f>G42+G47</f>
        <v>551000</v>
      </c>
      <c r="H49" s="537">
        <f>(H42+H47)/2</f>
        <v>1</v>
      </c>
      <c r="I49" s="537">
        <f>E49/H49</f>
        <v>1</v>
      </c>
      <c r="J49" s="177"/>
      <c r="K49" s="41"/>
    </row>
    <row r="50" spans="1:11" s="5" customFormat="1" ht="25.5">
      <c r="A50" s="132" t="s">
        <v>628</v>
      </c>
      <c r="B50" s="173"/>
      <c r="C50" s="173"/>
      <c r="D50" s="174"/>
      <c r="E50" s="677"/>
      <c r="F50" s="176"/>
      <c r="G50" s="175">
        <f>G49/G81</f>
        <v>0.0020617642710710816</v>
      </c>
      <c r="H50" s="175"/>
      <c r="I50" s="175"/>
      <c r="J50" s="177"/>
      <c r="K50" s="41"/>
    </row>
    <row r="51" spans="1:11" s="5" customFormat="1" ht="12.75">
      <c r="A51" s="790" t="s">
        <v>581</v>
      </c>
      <c r="B51" s="790"/>
      <c r="C51" s="790"/>
      <c r="D51" s="790"/>
      <c r="E51" s="790"/>
      <c r="F51" s="790"/>
      <c r="G51" s="790"/>
      <c r="H51" s="790"/>
      <c r="I51" s="790"/>
      <c r="J51" s="790"/>
      <c r="K51" s="41"/>
    </row>
    <row r="52" spans="1:11" s="5" customFormat="1" ht="12.75">
      <c r="A52" s="772" t="s">
        <v>629</v>
      </c>
      <c r="B52" s="773"/>
      <c r="C52" s="773"/>
      <c r="D52" s="773"/>
      <c r="E52" s="773"/>
      <c r="F52" s="773"/>
      <c r="G52" s="773"/>
      <c r="H52" s="773"/>
      <c r="I52" s="773"/>
      <c r="J52" s="773"/>
      <c r="K52" s="41"/>
    </row>
    <row r="53" spans="1:11" s="5" customFormat="1" ht="114.75">
      <c r="A53" s="149" t="s">
        <v>630</v>
      </c>
      <c r="B53" s="150"/>
      <c r="C53" s="150"/>
      <c r="D53" s="129"/>
      <c r="E53" s="135"/>
      <c r="F53" s="129">
        <v>176063832</v>
      </c>
      <c r="G53" s="129">
        <v>170014324</v>
      </c>
      <c r="H53" s="138">
        <f>G53/F53</f>
        <v>0.9656402571085696</v>
      </c>
      <c r="I53" s="135"/>
      <c r="J53" s="131" t="s">
        <v>631</v>
      </c>
      <c r="K53" s="41"/>
    </row>
    <row r="54" spans="1:11" s="5" customFormat="1" ht="12.75">
      <c r="A54" s="152" t="s">
        <v>249</v>
      </c>
      <c r="B54" s="173">
        <v>525</v>
      </c>
      <c r="C54" s="173">
        <v>525</v>
      </c>
      <c r="D54" s="173">
        <f>C54-B54</f>
        <v>0</v>
      </c>
      <c r="E54" s="135">
        <f>C54/B54</f>
        <v>1</v>
      </c>
      <c r="F54" s="129"/>
      <c r="G54" s="129"/>
      <c r="H54" s="135"/>
      <c r="I54" s="135"/>
      <c r="J54" s="151"/>
      <c r="K54" s="41"/>
    </row>
    <row r="55" spans="1:11" s="5" customFormat="1" ht="68.25" customHeight="1">
      <c r="A55" s="152" t="s">
        <v>632</v>
      </c>
      <c r="B55" s="163"/>
      <c r="C55" s="163"/>
      <c r="D55" s="164"/>
      <c r="E55" s="135"/>
      <c r="F55" s="129">
        <v>323400</v>
      </c>
      <c r="G55" s="129">
        <v>323400</v>
      </c>
      <c r="H55" s="135"/>
      <c r="I55" s="135"/>
      <c r="J55" s="151"/>
      <c r="K55" s="41"/>
    </row>
    <row r="56" spans="1:11" s="5" customFormat="1" ht="38.25">
      <c r="A56" s="1" t="s">
        <v>633</v>
      </c>
      <c r="B56" s="546">
        <v>1</v>
      </c>
      <c r="C56" s="546">
        <v>1</v>
      </c>
      <c r="D56" s="173">
        <f>C56-B56</f>
        <v>0</v>
      </c>
      <c r="E56" s="135">
        <f>C56/B56</f>
        <v>1</v>
      </c>
      <c r="F56" s="129"/>
      <c r="G56" s="129"/>
      <c r="H56" s="135"/>
      <c r="I56" s="135"/>
      <c r="J56" s="151"/>
      <c r="K56" s="41"/>
    </row>
    <row r="57" spans="1:11" s="5" customFormat="1" ht="12.75">
      <c r="A57" s="772" t="s">
        <v>634</v>
      </c>
      <c r="B57" s="770"/>
      <c r="C57" s="770"/>
      <c r="D57" s="770"/>
      <c r="E57" s="770"/>
      <c r="F57" s="770"/>
      <c r="G57" s="770"/>
      <c r="H57" s="770"/>
      <c r="I57" s="770"/>
      <c r="J57" s="770"/>
      <c r="K57" s="41"/>
    </row>
    <row r="58" spans="1:11" s="5" customFormat="1" ht="53.25" customHeight="1">
      <c r="A58" s="149" t="s">
        <v>635</v>
      </c>
      <c r="B58" s="150"/>
      <c r="C58" s="150"/>
      <c r="D58" s="129"/>
      <c r="E58" s="135"/>
      <c r="F58" s="153">
        <v>31500</v>
      </c>
      <c r="G58" s="153">
        <v>31500</v>
      </c>
      <c r="H58" s="138">
        <f>G58/F58</f>
        <v>1</v>
      </c>
      <c r="I58" s="135"/>
      <c r="J58" s="151"/>
      <c r="K58" s="41"/>
    </row>
    <row r="59" spans="1:11" s="5" customFormat="1" ht="76.5">
      <c r="A59" s="152" t="s">
        <v>752</v>
      </c>
      <c r="B59" s="678">
        <v>348.819</v>
      </c>
      <c r="C59" s="154">
        <v>348.819</v>
      </c>
      <c r="D59" s="155">
        <f>C59-B59</f>
        <v>0</v>
      </c>
      <c r="E59" s="156">
        <f>C59/B59</f>
        <v>1</v>
      </c>
      <c r="F59" s="129"/>
      <c r="G59" s="129"/>
      <c r="H59" s="135"/>
      <c r="I59" s="135"/>
      <c r="J59" s="151"/>
      <c r="K59" s="41"/>
    </row>
    <row r="60" spans="1:11" s="5" customFormat="1" ht="12.75">
      <c r="A60" s="180" t="s">
        <v>88</v>
      </c>
      <c r="B60" s="537">
        <f>SUM(B54:B59)</f>
        <v>874.819</v>
      </c>
      <c r="C60" s="537">
        <f>SUM(C54:C59)</f>
        <v>874.819</v>
      </c>
      <c r="D60" s="536">
        <f>C60-B60</f>
        <v>0</v>
      </c>
      <c r="E60" s="537">
        <f>(E54+E56+E56+E59)/4</f>
        <v>1</v>
      </c>
      <c r="F60" s="181">
        <f>F53+F55+F58</f>
        <v>176418732</v>
      </c>
      <c r="G60" s="181">
        <f>G53+G55+G58</f>
        <v>170369224</v>
      </c>
      <c r="H60" s="537">
        <f>G60/F60</f>
        <v>0.9657093782988986</v>
      </c>
      <c r="I60" s="537">
        <f>E60/H60</f>
        <v>1.0355082206631403</v>
      </c>
      <c r="J60" s="182"/>
      <c r="K60" s="41"/>
    </row>
    <row r="61" spans="1:11" s="5" customFormat="1" ht="25.5">
      <c r="A61" s="132" t="s">
        <v>89</v>
      </c>
      <c r="B61" s="175"/>
      <c r="C61" s="175"/>
      <c r="D61" s="174"/>
      <c r="E61" s="175"/>
      <c r="F61" s="176"/>
      <c r="G61" s="176">
        <f>G60/G81</f>
        <v>0.6374976024197928</v>
      </c>
      <c r="H61" s="175"/>
      <c r="I61" s="175"/>
      <c r="J61" s="191"/>
      <c r="K61" s="41"/>
    </row>
    <row r="62" spans="1:11" s="5" customFormat="1" ht="12.75">
      <c r="A62" s="790" t="s">
        <v>86</v>
      </c>
      <c r="B62" s="790"/>
      <c r="C62" s="790"/>
      <c r="D62" s="790"/>
      <c r="E62" s="790"/>
      <c r="F62" s="790"/>
      <c r="G62" s="790"/>
      <c r="H62" s="790"/>
      <c r="I62" s="790"/>
      <c r="J62" s="790"/>
      <c r="K62" s="41"/>
    </row>
    <row r="63" spans="1:11" s="5" customFormat="1" ht="51">
      <c r="A63" s="132" t="s">
        <v>618</v>
      </c>
      <c r="B63" s="132"/>
      <c r="C63" s="132"/>
      <c r="D63" s="132"/>
      <c r="E63" s="132"/>
      <c r="F63" s="153">
        <v>50000</v>
      </c>
      <c r="G63" s="153">
        <v>50000</v>
      </c>
      <c r="H63" s="148">
        <f>G63/F63</f>
        <v>1</v>
      </c>
      <c r="I63" s="148"/>
      <c r="J63" s="132"/>
      <c r="K63" s="41"/>
    </row>
    <row r="64" spans="1:12" s="5" customFormat="1" ht="38.25">
      <c r="A64" s="132" t="s">
        <v>619</v>
      </c>
      <c r="B64" s="547">
        <v>1</v>
      </c>
      <c r="C64" s="547">
        <v>1</v>
      </c>
      <c r="D64" s="155">
        <f>C64-B64</f>
        <v>0</v>
      </c>
      <c r="E64" s="156">
        <f>C64/B64</f>
        <v>1</v>
      </c>
      <c r="F64" s="147"/>
      <c r="G64" s="147"/>
      <c r="H64" s="148"/>
      <c r="I64" s="148"/>
      <c r="J64" s="132"/>
      <c r="K64" s="41"/>
      <c r="L64" s="7"/>
    </row>
    <row r="65" spans="1:12" s="5" customFormat="1" ht="12.75">
      <c r="A65" s="180" t="s">
        <v>87</v>
      </c>
      <c r="B65" s="538">
        <f>SUM(B63:B64)</f>
        <v>1</v>
      </c>
      <c r="C65" s="538">
        <f>SUM(C63:C64)</f>
        <v>1</v>
      </c>
      <c r="D65" s="536">
        <f>C65-B65</f>
        <v>0</v>
      </c>
      <c r="E65" s="537">
        <f>C65/B65</f>
        <v>1</v>
      </c>
      <c r="F65" s="181">
        <f>F63</f>
        <v>50000</v>
      </c>
      <c r="G65" s="181">
        <f>G63</f>
        <v>50000</v>
      </c>
      <c r="H65" s="537">
        <f>G65/F65</f>
        <v>1</v>
      </c>
      <c r="I65" s="537">
        <f>E65/H65</f>
        <v>1</v>
      </c>
      <c r="J65" s="191"/>
      <c r="K65" s="41"/>
      <c r="L65" s="44"/>
    </row>
    <row r="66" spans="1:12" s="5" customFormat="1" ht="25.5">
      <c r="A66" s="132" t="s">
        <v>90</v>
      </c>
      <c r="B66" s="365"/>
      <c r="C66" s="365"/>
      <c r="D66" s="174"/>
      <c r="E66" s="175"/>
      <c r="F66" s="176"/>
      <c r="G66" s="539">
        <f>G65/G81</f>
        <v>0.00018709294655817437</v>
      </c>
      <c r="H66" s="175"/>
      <c r="I66" s="175"/>
      <c r="J66" s="191"/>
      <c r="K66" s="41"/>
      <c r="L66" s="44"/>
    </row>
    <row r="67" spans="1:12" s="5" customFormat="1" ht="12.75">
      <c r="A67" s="790" t="s">
        <v>582</v>
      </c>
      <c r="B67" s="790"/>
      <c r="C67" s="790"/>
      <c r="D67" s="790"/>
      <c r="E67" s="790"/>
      <c r="F67" s="790"/>
      <c r="G67" s="790"/>
      <c r="H67" s="790"/>
      <c r="I67" s="790"/>
      <c r="J67" s="790"/>
      <c r="K67" s="41"/>
      <c r="L67" s="44"/>
    </row>
    <row r="68" spans="1:12" s="5" customFormat="1" ht="63.75">
      <c r="A68" s="157" t="s">
        <v>91</v>
      </c>
      <c r="B68" s="158"/>
      <c r="C68" s="158"/>
      <c r="D68" s="144"/>
      <c r="E68" s="138"/>
      <c r="F68" s="144">
        <v>518329</v>
      </c>
      <c r="G68" s="144">
        <v>518329</v>
      </c>
      <c r="H68" s="138">
        <f>G68/F68</f>
        <v>1</v>
      </c>
      <c r="I68" s="145"/>
      <c r="J68" s="159"/>
      <c r="K68" s="41"/>
      <c r="L68" s="44"/>
    </row>
    <row r="69" spans="1:12" s="5" customFormat="1" ht="51">
      <c r="A69" s="152" t="s">
        <v>620</v>
      </c>
      <c r="B69" s="548">
        <v>1</v>
      </c>
      <c r="C69" s="548">
        <v>1</v>
      </c>
      <c r="D69" s="155">
        <f>C69-B69</f>
        <v>0</v>
      </c>
      <c r="E69" s="156">
        <f>C69/B69</f>
        <v>1</v>
      </c>
      <c r="F69" s="679"/>
      <c r="G69" s="155"/>
      <c r="H69" s="156"/>
      <c r="I69" s="156"/>
      <c r="J69" s="160"/>
      <c r="K69" s="41"/>
      <c r="L69" s="44"/>
    </row>
    <row r="70" spans="1:12" s="5" customFormat="1" ht="63.75">
      <c r="A70" s="132" t="s">
        <v>92</v>
      </c>
      <c r="B70" s="129"/>
      <c r="C70" s="128"/>
      <c r="D70" s="129"/>
      <c r="E70" s="135"/>
      <c r="F70" s="323">
        <v>938680</v>
      </c>
      <c r="G70" s="323">
        <v>938680</v>
      </c>
      <c r="H70" s="323">
        <f>G70/F70</f>
        <v>1</v>
      </c>
      <c r="I70" s="190"/>
      <c r="J70" s="191"/>
      <c r="K70" s="162"/>
      <c r="L70" s="44"/>
    </row>
    <row r="71" spans="1:12" s="5" customFormat="1" ht="54" customHeight="1">
      <c r="A71" s="132" t="s">
        <v>120</v>
      </c>
      <c r="B71" s="150">
        <v>1</v>
      </c>
      <c r="C71" s="128">
        <v>1</v>
      </c>
      <c r="D71" s="174">
        <f>C71-B71</f>
        <v>0</v>
      </c>
      <c r="E71" s="175">
        <f>C71/B71</f>
        <v>1</v>
      </c>
      <c r="F71" s="147"/>
      <c r="G71" s="147"/>
      <c r="H71" s="135"/>
      <c r="I71" s="135"/>
      <c r="J71" s="128"/>
      <c r="K71" s="162"/>
      <c r="L71" s="44"/>
    </row>
    <row r="72" spans="1:12" s="5" customFormat="1" ht="12.75">
      <c r="A72" s="180" t="s">
        <v>93</v>
      </c>
      <c r="B72" s="538">
        <f>SUM(B69:B71)</f>
        <v>2</v>
      </c>
      <c r="C72" s="538">
        <f>SUM(C69:C71)</f>
        <v>2</v>
      </c>
      <c r="D72" s="536">
        <f>C72-B72</f>
        <v>0</v>
      </c>
      <c r="E72" s="537">
        <f>C72/B72</f>
        <v>1</v>
      </c>
      <c r="F72" s="181">
        <f>F68+F70</f>
        <v>1457009</v>
      </c>
      <c r="G72" s="181">
        <f>G68+G70</f>
        <v>1457009</v>
      </c>
      <c r="H72" s="537">
        <f>G72/F72</f>
        <v>1</v>
      </c>
      <c r="I72" s="537">
        <f>E72/H72</f>
        <v>1</v>
      </c>
      <c r="J72" s="191"/>
      <c r="K72" s="41"/>
      <c r="L72" s="44"/>
    </row>
    <row r="73" spans="1:12" s="5" customFormat="1" ht="25.5">
      <c r="A73" s="132" t="s">
        <v>610</v>
      </c>
      <c r="B73" s="129"/>
      <c r="C73" s="128"/>
      <c r="D73" s="129"/>
      <c r="E73" s="135"/>
      <c r="F73" s="147"/>
      <c r="G73" s="147">
        <f>G72/G81</f>
        <v>0.005451922139435582</v>
      </c>
      <c r="H73" s="135"/>
      <c r="I73" s="135"/>
      <c r="J73" s="128"/>
      <c r="K73" s="162"/>
      <c r="L73" s="44"/>
    </row>
    <row r="74" spans="1:12" s="5" customFormat="1" ht="12.75">
      <c r="A74" s="790" t="s">
        <v>583</v>
      </c>
      <c r="B74" s="790"/>
      <c r="C74" s="790"/>
      <c r="D74" s="790"/>
      <c r="E74" s="790"/>
      <c r="F74" s="790"/>
      <c r="G74" s="790"/>
      <c r="H74" s="790"/>
      <c r="I74" s="790"/>
      <c r="J74" s="790"/>
      <c r="K74" s="41"/>
      <c r="L74" s="44"/>
    </row>
    <row r="75" spans="1:12" s="5" customFormat="1" ht="38.25">
      <c r="A75" s="132" t="s">
        <v>94</v>
      </c>
      <c r="B75" s="129"/>
      <c r="C75" s="128"/>
      <c r="D75" s="129"/>
      <c r="E75" s="135"/>
      <c r="F75" s="129">
        <v>11675067.54</v>
      </c>
      <c r="G75" s="129">
        <v>11566236.66</v>
      </c>
      <c r="H75" s="130">
        <f>G75/F75</f>
        <v>0.9906783511421127</v>
      </c>
      <c r="I75" s="135"/>
      <c r="J75" s="534" t="s">
        <v>95</v>
      </c>
      <c r="K75" s="41"/>
      <c r="L75" s="44"/>
    </row>
    <row r="76" spans="1:12" s="5" customFormat="1" ht="25.5">
      <c r="A76" s="239" t="s">
        <v>121</v>
      </c>
      <c r="B76" s="150">
        <v>7</v>
      </c>
      <c r="C76" s="150">
        <v>7</v>
      </c>
      <c r="D76" s="129">
        <f>C76-B76</f>
        <v>0</v>
      </c>
      <c r="E76" s="135">
        <f>C76/B76</f>
        <v>1</v>
      </c>
      <c r="F76" s="129"/>
      <c r="G76" s="129"/>
      <c r="H76" s="135"/>
      <c r="I76" s="135"/>
      <c r="J76" s="128"/>
      <c r="K76" s="41"/>
      <c r="L76" s="44"/>
    </row>
    <row r="77" spans="1:12" s="5" customFormat="1" ht="25.5">
      <c r="A77" s="152" t="s">
        <v>609</v>
      </c>
      <c r="B77" s="161"/>
      <c r="C77" s="161"/>
      <c r="D77" s="129"/>
      <c r="E77" s="135"/>
      <c r="F77" s="129">
        <v>25067330</v>
      </c>
      <c r="G77" s="129">
        <v>25067330</v>
      </c>
      <c r="H77" s="135">
        <f>G77/F77</f>
        <v>1</v>
      </c>
      <c r="I77" s="135"/>
      <c r="J77" s="128"/>
      <c r="K77" s="162"/>
      <c r="L77" s="321"/>
    </row>
    <row r="78" spans="1:12" s="5" customFormat="1" ht="63.75">
      <c r="A78" s="152" t="s">
        <v>753</v>
      </c>
      <c r="B78" s="150">
        <v>23.7</v>
      </c>
      <c r="C78" s="150">
        <v>23.7</v>
      </c>
      <c r="D78" s="129">
        <f>C78-B78</f>
        <v>0</v>
      </c>
      <c r="E78" s="135">
        <f>C78/B78</f>
        <v>1</v>
      </c>
      <c r="F78" s="129"/>
      <c r="G78" s="129"/>
      <c r="H78" s="135"/>
      <c r="I78" s="135"/>
      <c r="J78" s="128"/>
      <c r="K78" s="41"/>
      <c r="L78" s="44"/>
    </row>
    <row r="79" spans="1:12" s="5" customFormat="1" ht="12.75">
      <c r="A79" s="180" t="s">
        <v>608</v>
      </c>
      <c r="B79" s="540">
        <f>B76+B78</f>
        <v>30.7</v>
      </c>
      <c r="C79" s="540">
        <f>C76+C78</f>
        <v>30.7</v>
      </c>
      <c r="D79" s="536">
        <f>C79-B79</f>
        <v>0</v>
      </c>
      <c r="E79" s="537">
        <f>C79/B79</f>
        <v>1</v>
      </c>
      <c r="F79" s="181">
        <f>F75+F77</f>
        <v>36742397.54</v>
      </c>
      <c r="G79" s="181">
        <f>G75+G77</f>
        <v>36633566.66</v>
      </c>
      <c r="H79" s="537">
        <f>G79/F79</f>
        <v>0.997038002762843</v>
      </c>
      <c r="I79" s="537">
        <f>E79/H79</f>
        <v>1.00297079672886</v>
      </c>
      <c r="J79" s="191"/>
      <c r="K79" s="41"/>
      <c r="L79" s="44"/>
    </row>
    <row r="80" spans="1:12" s="5" customFormat="1" ht="25.5">
      <c r="A80" s="132" t="s">
        <v>611</v>
      </c>
      <c r="B80" s="366"/>
      <c r="C80" s="366"/>
      <c r="D80" s="174"/>
      <c r="E80" s="175"/>
      <c r="F80" s="176"/>
      <c r="G80" s="176">
        <f>G79/G81</f>
        <v>0.13707763858709396</v>
      </c>
      <c r="H80" s="175"/>
      <c r="I80" s="175"/>
      <c r="J80" s="191"/>
      <c r="K80" s="41"/>
      <c r="L80" s="44"/>
    </row>
    <row r="81" spans="1:12" s="5" customFormat="1" ht="12.75">
      <c r="A81" s="377" t="s">
        <v>293</v>
      </c>
      <c r="B81" s="375"/>
      <c r="C81" s="375"/>
      <c r="D81" s="375"/>
      <c r="E81" s="376">
        <f>(E38+E49+E60+E65+E72+E79)/6</f>
        <v>1</v>
      </c>
      <c r="F81" s="375">
        <f>F38+F49+F60+F65+F79+F72</f>
        <v>273405185.54</v>
      </c>
      <c r="G81" s="375">
        <f>G38+G49+G60+G65+G79+G72</f>
        <v>267246846.66</v>
      </c>
      <c r="H81" s="376">
        <f>G81/F81</f>
        <v>0.9774754130290662</v>
      </c>
      <c r="I81" s="376">
        <f>E81/H81</f>
        <v>1.0230436353392596</v>
      </c>
      <c r="J81" s="377"/>
      <c r="K81" s="41"/>
      <c r="L81" s="44"/>
    </row>
    <row r="82" spans="1:12" s="5" customFormat="1" ht="12.75">
      <c r="A82" s="789" t="s">
        <v>44</v>
      </c>
      <c r="B82" s="789"/>
      <c r="C82" s="789"/>
      <c r="D82" s="789"/>
      <c r="E82" s="789"/>
      <c r="F82" s="789"/>
      <c r="G82" s="789"/>
      <c r="H82" s="789"/>
      <c r="I82" s="789"/>
      <c r="J82" s="789"/>
      <c r="K82" s="162"/>
      <c r="L82" s="44"/>
    </row>
    <row r="83" spans="1:12" s="5" customFormat="1" ht="25.5" customHeight="1">
      <c r="A83" s="791" t="s">
        <v>557</v>
      </c>
      <c r="B83" s="791"/>
      <c r="C83" s="791"/>
      <c r="D83" s="791"/>
      <c r="E83" s="791"/>
      <c r="F83" s="791"/>
      <c r="G83" s="791"/>
      <c r="H83" s="791"/>
      <c r="I83" s="791"/>
      <c r="J83" s="791"/>
      <c r="K83" s="41"/>
      <c r="L83" s="44"/>
    </row>
    <row r="84" spans="1:12" s="5" customFormat="1" ht="28.5" customHeight="1">
      <c r="A84" s="24" t="s">
        <v>342</v>
      </c>
      <c r="B84" s="8"/>
      <c r="C84" s="8"/>
      <c r="D84" s="8"/>
      <c r="E84" s="13"/>
      <c r="F84" s="12">
        <v>250000</v>
      </c>
      <c r="G84" s="12">
        <v>250000</v>
      </c>
      <c r="H84" s="13">
        <f>G84/F84</f>
        <v>1</v>
      </c>
      <c r="I84" s="13"/>
      <c r="J84" s="46"/>
      <c r="K84" s="41"/>
      <c r="L84" s="44"/>
    </row>
    <row r="85" spans="1:12" s="5" customFormat="1" ht="48">
      <c r="A85" s="21" t="s">
        <v>565</v>
      </c>
      <c r="B85" s="8">
        <v>495</v>
      </c>
      <c r="C85" s="8">
        <v>570</v>
      </c>
      <c r="D85" s="8">
        <f>C85-B85</f>
        <v>75</v>
      </c>
      <c r="E85" s="13">
        <f>B85/C85</f>
        <v>0.868421052631579</v>
      </c>
      <c r="F85" s="12"/>
      <c r="G85" s="12"/>
      <c r="H85" s="13"/>
      <c r="I85" s="13"/>
      <c r="J85" s="46" t="s">
        <v>556</v>
      </c>
      <c r="K85" s="41"/>
      <c r="L85" s="44"/>
    </row>
    <row r="86" spans="1:12" s="5" customFormat="1" ht="25.5">
      <c r="A86" s="36" t="s">
        <v>566</v>
      </c>
      <c r="B86" s="8">
        <v>140</v>
      </c>
      <c r="C86" s="8">
        <v>165</v>
      </c>
      <c r="D86" s="8">
        <f>C86-B86</f>
        <v>25</v>
      </c>
      <c r="E86" s="13">
        <f>B86/C86</f>
        <v>0.8484848484848485</v>
      </c>
      <c r="F86" s="12"/>
      <c r="G86" s="12"/>
      <c r="H86" s="13"/>
      <c r="I86" s="13"/>
      <c r="J86" s="42"/>
      <c r="K86" s="41"/>
      <c r="L86" s="44"/>
    </row>
    <row r="87" spans="1:12" s="5" customFormat="1" ht="25.5">
      <c r="A87" s="36" t="s">
        <v>567</v>
      </c>
      <c r="B87" s="8">
        <v>142</v>
      </c>
      <c r="C87" s="8">
        <v>128</v>
      </c>
      <c r="D87" s="8">
        <f>C87-B87</f>
        <v>-14</v>
      </c>
      <c r="E87" s="13">
        <f>B87/C87</f>
        <v>1.109375</v>
      </c>
      <c r="F87" s="12"/>
      <c r="G87" s="12"/>
      <c r="H87" s="13"/>
      <c r="I87" s="13"/>
      <c r="J87" s="46"/>
      <c r="K87" s="41"/>
      <c r="L87" s="44"/>
    </row>
    <row r="88" spans="1:12" s="5" customFormat="1" ht="25.5">
      <c r="A88" s="36" t="s">
        <v>568</v>
      </c>
      <c r="B88" s="8">
        <v>21</v>
      </c>
      <c r="C88" s="8">
        <v>29</v>
      </c>
      <c r="D88" s="8">
        <f>C88-B88</f>
        <v>8</v>
      </c>
      <c r="E88" s="13">
        <f>B88/C88</f>
        <v>0.7241379310344828</v>
      </c>
      <c r="F88" s="12"/>
      <c r="G88" s="12"/>
      <c r="H88" s="13"/>
      <c r="I88" s="13"/>
      <c r="J88" s="42" t="s">
        <v>781</v>
      </c>
      <c r="K88" s="41"/>
      <c r="L88" s="44"/>
    </row>
    <row r="89" spans="1:12" s="5" customFormat="1" ht="25.5">
      <c r="A89" s="36" t="s">
        <v>561</v>
      </c>
      <c r="B89" s="8"/>
      <c r="C89" s="8"/>
      <c r="D89" s="8"/>
      <c r="E89" s="13"/>
      <c r="F89" s="12"/>
      <c r="G89" s="12">
        <f>G90/G97</f>
        <v>0.9615384615384616</v>
      </c>
      <c r="H89" s="13"/>
      <c r="I89" s="13"/>
      <c r="J89" s="42"/>
      <c r="K89" s="41"/>
      <c r="L89" s="44"/>
    </row>
    <row r="90" spans="1:12" s="5" customFormat="1" ht="12.75">
      <c r="A90" s="26" t="s">
        <v>469</v>
      </c>
      <c r="B90" s="378">
        <f>SUM(B85:B88)</f>
        <v>798</v>
      </c>
      <c r="C90" s="378">
        <f>SUM(C85:C88)</f>
        <v>892</v>
      </c>
      <c r="D90" s="9">
        <f>C90-B90</f>
        <v>94</v>
      </c>
      <c r="E90" s="10">
        <f>(E85+E86+E87+E88)/4</f>
        <v>0.8876047080377275</v>
      </c>
      <c r="F90" s="22">
        <f>SUM(F84:F88)</f>
        <v>250000</v>
      </c>
      <c r="G90" s="22">
        <f>SUM(G84:G88)</f>
        <v>250000</v>
      </c>
      <c r="H90" s="179">
        <f>G90/F90</f>
        <v>1</v>
      </c>
      <c r="I90" s="179">
        <f>E90/H90</f>
        <v>0.8876047080377275</v>
      </c>
      <c r="J90" s="47"/>
      <c r="K90" s="41"/>
      <c r="L90" s="44"/>
    </row>
    <row r="91" spans="1:12" s="5" customFormat="1" ht="12.75">
      <c r="A91" s="791" t="s">
        <v>558</v>
      </c>
      <c r="B91" s="791"/>
      <c r="C91" s="791"/>
      <c r="D91" s="791"/>
      <c r="E91" s="791"/>
      <c r="F91" s="791"/>
      <c r="G91" s="791"/>
      <c r="H91" s="791"/>
      <c r="I91" s="791"/>
      <c r="J91" s="791"/>
      <c r="K91" s="41"/>
      <c r="L91" s="44"/>
    </row>
    <row r="92" spans="1:12" s="5" customFormat="1" ht="38.25">
      <c r="A92" s="36" t="s">
        <v>231</v>
      </c>
      <c r="B92" s="8"/>
      <c r="C92" s="8"/>
      <c r="D92" s="8"/>
      <c r="E92" s="13"/>
      <c r="F92" s="12">
        <v>10000</v>
      </c>
      <c r="G92" s="12">
        <v>10000</v>
      </c>
      <c r="H92" s="13">
        <v>1</v>
      </c>
      <c r="I92" s="13"/>
      <c r="J92" s="42"/>
      <c r="K92" s="41"/>
      <c r="L92" s="45"/>
    </row>
    <row r="93" spans="1:12" s="5" customFormat="1" ht="38.25">
      <c r="A93" s="24" t="s">
        <v>232</v>
      </c>
      <c r="B93" s="8">
        <v>13</v>
      </c>
      <c r="C93" s="8">
        <v>8</v>
      </c>
      <c r="D93" s="8">
        <v>-2</v>
      </c>
      <c r="E93" s="13">
        <f>B93/C93</f>
        <v>1.625</v>
      </c>
      <c r="F93" s="12"/>
      <c r="G93" s="12"/>
      <c r="H93" s="13"/>
      <c r="I93" s="13"/>
      <c r="J93" s="46" t="s">
        <v>780</v>
      </c>
      <c r="K93" s="41"/>
      <c r="L93" s="45"/>
    </row>
    <row r="94" spans="1:12" s="5" customFormat="1" ht="52.5" customHeight="1">
      <c r="A94" s="24" t="s">
        <v>233</v>
      </c>
      <c r="B94" s="8">
        <v>100</v>
      </c>
      <c r="C94" s="8">
        <v>138</v>
      </c>
      <c r="D94" s="8">
        <v>38</v>
      </c>
      <c r="E94" s="13">
        <f>B94/C94</f>
        <v>0.7246376811594203</v>
      </c>
      <c r="F94" s="12"/>
      <c r="G94" s="12"/>
      <c r="H94" s="13"/>
      <c r="I94" s="13"/>
      <c r="J94" s="42"/>
      <c r="K94" s="41"/>
      <c r="L94" s="45"/>
    </row>
    <row r="95" spans="1:12" s="5" customFormat="1" ht="25.5">
      <c r="A95" s="36" t="s">
        <v>560</v>
      </c>
      <c r="B95" s="8"/>
      <c r="C95" s="8"/>
      <c r="D95" s="8"/>
      <c r="E95" s="13"/>
      <c r="F95" s="12"/>
      <c r="G95" s="12">
        <f>G96/G97</f>
        <v>0.038461538461538464</v>
      </c>
      <c r="H95" s="13"/>
      <c r="I95" s="13"/>
      <c r="J95" s="42"/>
      <c r="K95" s="41"/>
      <c r="L95" s="45"/>
    </row>
    <row r="96" spans="1:12" s="5" customFormat="1" ht="18.75">
      <c r="A96" s="36" t="s">
        <v>559</v>
      </c>
      <c r="B96" s="8">
        <f>B93+B94</f>
        <v>113</v>
      </c>
      <c r="C96" s="8">
        <f>C93+C94</f>
        <v>146</v>
      </c>
      <c r="D96" s="8">
        <v>36</v>
      </c>
      <c r="E96" s="13">
        <f>(E93+E94)/2</f>
        <v>1.1748188405797102</v>
      </c>
      <c r="F96" s="12">
        <f>F92</f>
        <v>10000</v>
      </c>
      <c r="G96" s="12">
        <f>G92</f>
        <v>10000</v>
      </c>
      <c r="H96" s="13">
        <v>1</v>
      </c>
      <c r="I96" s="12">
        <f>E96/H96</f>
        <v>1.1748188405797102</v>
      </c>
      <c r="J96" s="42"/>
      <c r="K96" s="41"/>
      <c r="L96" s="45"/>
    </row>
    <row r="97" spans="1:12" s="5" customFormat="1" ht="18.75">
      <c r="A97" s="402" t="s">
        <v>350</v>
      </c>
      <c r="B97" s="471">
        <f>B90+B96</f>
        <v>911</v>
      </c>
      <c r="C97" s="471">
        <f>C90+C96</f>
        <v>1038</v>
      </c>
      <c r="D97" s="471">
        <v>36</v>
      </c>
      <c r="E97" s="472">
        <f>(E90+E96)/2</f>
        <v>1.0312117743087188</v>
      </c>
      <c r="F97" s="471">
        <f>F90+F96</f>
        <v>260000</v>
      </c>
      <c r="G97" s="471">
        <f>G90+G96</f>
        <v>260000</v>
      </c>
      <c r="H97" s="426">
        <v>1</v>
      </c>
      <c r="I97" s="472">
        <f>E97/H97</f>
        <v>1.0312117743087188</v>
      </c>
      <c r="J97" s="425"/>
      <c r="K97" s="41"/>
      <c r="L97" s="45"/>
    </row>
    <row r="98" spans="1:12" s="5" customFormat="1" ht="18.75">
      <c r="A98" s="789" t="s">
        <v>551</v>
      </c>
      <c r="B98" s="789"/>
      <c r="C98" s="789"/>
      <c r="D98" s="789"/>
      <c r="E98" s="789"/>
      <c r="F98" s="789"/>
      <c r="G98" s="789"/>
      <c r="H98" s="789"/>
      <c r="I98" s="789"/>
      <c r="J98" s="789"/>
      <c r="K98" s="41"/>
      <c r="L98" s="45"/>
    </row>
    <row r="99" spans="1:12" s="5" customFormat="1" ht="16.5" customHeight="1">
      <c r="A99" s="798" t="s">
        <v>45</v>
      </c>
      <c r="B99" s="798"/>
      <c r="C99" s="798"/>
      <c r="D99" s="798"/>
      <c r="E99" s="798"/>
      <c r="F99" s="798"/>
      <c r="G99" s="798"/>
      <c r="H99" s="798"/>
      <c r="I99" s="798"/>
      <c r="J99" s="798"/>
      <c r="K99" s="41"/>
      <c r="L99" s="45"/>
    </row>
    <row r="100" spans="1:12" s="5" customFormat="1" ht="51">
      <c r="A100" s="600" t="s">
        <v>234</v>
      </c>
      <c r="B100" s="603"/>
      <c r="C100" s="603"/>
      <c r="D100" s="603"/>
      <c r="E100" s="603"/>
      <c r="F100" s="680">
        <v>665186</v>
      </c>
      <c r="G100" s="681">
        <v>665186</v>
      </c>
      <c r="H100" s="681">
        <f>G100/F100</f>
        <v>1</v>
      </c>
      <c r="I100" s="603"/>
      <c r="J100" s="682"/>
      <c r="K100" s="41"/>
      <c r="L100" s="45"/>
    </row>
    <row r="101" spans="1:11" s="5" customFormat="1" ht="51">
      <c r="A101" s="600" t="s">
        <v>235</v>
      </c>
      <c r="B101" s="603"/>
      <c r="C101" s="603"/>
      <c r="D101" s="603"/>
      <c r="E101" s="603"/>
      <c r="F101" s="680">
        <v>818868</v>
      </c>
      <c r="G101" s="680">
        <f>F101</f>
        <v>818868</v>
      </c>
      <c r="H101" s="681">
        <f>G101/F101</f>
        <v>1</v>
      </c>
      <c r="I101" s="603"/>
      <c r="J101" s="603"/>
      <c r="K101" s="41"/>
    </row>
    <row r="102" spans="1:11" s="5" customFormat="1" ht="25.5">
      <c r="A102" s="600" t="s">
        <v>236</v>
      </c>
      <c r="B102" s="603"/>
      <c r="C102" s="603"/>
      <c r="D102" s="603"/>
      <c r="E102" s="603"/>
      <c r="F102" s="680">
        <v>96716466.21</v>
      </c>
      <c r="G102" s="681">
        <v>96716466.21</v>
      </c>
      <c r="H102" s="681">
        <f>G102/F102</f>
        <v>1</v>
      </c>
      <c r="I102" s="603"/>
      <c r="J102" s="603"/>
      <c r="K102" s="41"/>
    </row>
    <row r="103" spans="1:11" s="5" customFormat="1" ht="25.5">
      <c r="A103" s="600" t="s">
        <v>237</v>
      </c>
      <c r="B103" s="603"/>
      <c r="C103" s="603"/>
      <c r="D103" s="603"/>
      <c r="E103" s="603"/>
      <c r="F103" s="680">
        <v>209350</v>
      </c>
      <c r="G103" s="681">
        <v>209350</v>
      </c>
      <c r="H103" s="681">
        <f>G103/F103</f>
        <v>1</v>
      </c>
      <c r="I103" s="603"/>
      <c r="J103" s="603"/>
      <c r="K103" s="41"/>
    </row>
    <row r="104" spans="1:11" s="5" customFormat="1" ht="120">
      <c r="A104" s="683" t="s">
        <v>562</v>
      </c>
      <c r="B104" s="615">
        <v>50.65</v>
      </c>
      <c r="C104" s="300">
        <v>60.08</v>
      </c>
      <c r="D104" s="300">
        <f aca="true" t="shared" si="0" ref="D104:D120">SUM(C104-B104)</f>
        <v>9.43</v>
      </c>
      <c r="E104" s="479">
        <f>C104/B104</f>
        <v>1.1861796643632774</v>
      </c>
      <c r="F104" s="603"/>
      <c r="G104" s="603"/>
      <c r="H104" s="603"/>
      <c r="I104" s="603"/>
      <c r="J104" s="684" t="s">
        <v>46</v>
      </c>
      <c r="K104" s="41"/>
    </row>
    <row r="105" spans="1:11" s="5" customFormat="1" ht="76.5">
      <c r="A105" s="683" t="s">
        <v>563</v>
      </c>
      <c r="B105" s="615">
        <v>9</v>
      </c>
      <c r="C105" s="300">
        <v>10.63</v>
      </c>
      <c r="D105" s="300">
        <f t="shared" si="0"/>
        <v>1.6300000000000008</v>
      </c>
      <c r="E105" s="479">
        <f aca="true" t="shared" si="1" ref="E105:E120">SUM(C105/B105)</f>
        <v>1.1811111111111112</v>
      </c>
      <c r="F105" s="603"/>
      <c r="G105" s="603"/>
      <c r="H105" s="603"/>
      <c r="I105" s="603"/>
      <c r="J105" s="685" t="s">
        <v>47</v>
      </c>
      <c r="K105" s="41"/>
    </row>
    <row r="106" spans="1:11" s="5" customFormat="1" ht="96">
      <c r="A106" s="686" t="s">
        <v>508</v>
      </c>
      <c r="B106" s="615">
        <v>80.35</v>
      </c>
      <c r="C106" s="300">
        <v>90.44</v>
      </c>
      <c r="D106" s="300">
        <f t="shared" si="0"/>
        <v>10.090000000000003</v>
      </c>
      <c r="E106" s="479">
        <f t="shared" si="1"/>
        <v>1.1255756067205975</v>
      </c>
      <c r="F106" s="603"/>
      <c r="G106" s="603"/>
      <c r="H106" s="603"/>
      <c r="I106" s="603"/>
      <c r="J106" s="685" t="s">
        <v>48</v>
      </c>
      <c r="K106" s="41"/>
    </row>
    <row r="107" spans="1:11" s="5" customFormat="1" ht="96">
      <c r="A107" s="600" t="s">
        <v>509</v>
      </c>
      <c r="B107" s="615">
        <v>68</v>
      </c>
      <c r="C107" s="300">
        <v>76.26</v>
      </c>
      <c r="D107" s="300">
        <f t="shared" si="0"/>
        <v>8.260000000000005</v>
      </c>
      <c r="E107" s="479">
        <f t="shared" si="1"/>
        <v>1.1214705882352942</v>
      </c>
      <c r="F107" s="603"/>
      <c r="G107" s="603"/>
      <c r="H107" s="603"/>
      <c r="I107" s="603"/>
      <c r="J107" s="685" t="s">
        <v>48</v>
      </c>
      <c r="K107" s="41"/>
    </row>
    <row r="108" spans="1:11" s="5" customFormat="1" ht="51">
      <c r="A108" s="683" t="s">
        <v>107</v>
      </c>
      <c r="B108" s="687">
        <v>700</v>
      </c>
      <c r="C108" s="687">
        <v>659</v>
      </c>
      <c r="D108" s="300">
        <f t="shared" si="0"/>
        <v>-41</v>
      </c>
      <c r="E108" s="479">
        <f t="shared" si="1"/>
        <v>0.9414285714285714</v>
      </c>
      <c r="F108" s="603"/>
      <c r="G108" s="603"/>
      <c r="H108" s="603"/>
      <c r="I108" s="603"/>
      <c r="J108" s="685" t="s">
        <v>49</v>
      </c>
      <c r="K108" s="41"/>
    </row>
    <row r="109" spans="1:11" s="5" customFormat="1" ht="72">
      <c r="A109" s="683" t="s">
        <v>180</v>
      </c>
      <c r="B109" s="687">
        <v>7</v>
      </c>
      <c r="C109" s="687">
        <v>11</v>
      </c>
      <c r="D109" s="300">
        <f t="shared" si="0"/>
        <v>4</v>
      </c>
      <c r="E109" s="479">
        <f t="shared" si="1"/>
        <v>1.5714285714285714</v>
      </c>
      <c r="F109" s="603"/>
      <c r="G109" s="603"/>
      <c r="H109" s="603"/>
      <c r="I109" s="603"/>
      <c r="J109" s="685" t="s">
        <v>50</v>
      </c>
      <c r="K109" s="41"/>
    </row>
    <row r="110" spans="1:11" s="5" customFormat="1" ht="51">
      <c r="A110" s="683" t="s">
        <v>181</v>
      </c>
      <c r="B110" s="687">
        <v>56750</v>
      </c>
      <c r="C110" s="687">
        <v>23965</v>
      </c>
      <c r="D110" s="300">
        <f t="shared" si="0"/>
        <v>-32785</v>
      </c>
      <c r="E110" s="479">
        <f t="shared" si="1"/>
        <v>0.4222907488986784</v>
      </c>
      <c r="F110" s="603"/>
      <c r="G110" s="603"/>
      <c r="H110" s="603"/>
      <c r="I110" s="603"/>
      <c r="J110" s="685" t="s">
        <v>51</v>
      </c>
      <c r="K110" s="41"/>
    </row>
    <row r="111" spans="1:11" s="5" customFormat="1" ht="38.25">
      <c r="A111" s="600" t="s">
        <v>108</v>
      </c>
      <c r="B111" s="687">
        <v>360</v>
      </c>
      <c r="C111" s="687">
        <v>551</v>
      </c>
      <c r="D111" s="300">
        <f t="shared" si="0"/>
        <v>191</v>
      </c>
      <c r="E111" s="479">
        <f t="shared" si="1"/>
        <v>1.5305555555555554</v>
      </c>
      <c r="F111" s="603"/>
      <c r="G111" s="603"/>
      <c r="H111" s="603"/>
      <c r="I111" s="603"/>
      <c r="J111" s="685" t="s">
        <v>52</v>
      </c>
      <c r="K111" s="41"/>
    </row>
    <row r="112" spans="1:11" s="5" customFormat="1" ht="63.75">
      <c r="A112" s="600" t="s">
        <v>182</v>
      </c>
      <c r="B112" s="687">
        <v>57</v>
      </c>
      <c r="C112" s="301">
        <v>94</v>
      </c>
      <c r="D112" s="300">
        <f t="shared" si="0"/>
        <v>37</v>
      </c>
      <c r="E112" s="479">
        <f t="shared" si="1"/>
        <v>1.6491228070175439</v>
      </c>
      <c r="F112" s="603"/>
      <c r="G112" s="603"/>
      <c r="H112" s="603"/>
      <c r="I112" s="603"/>
      <c r="J112" s="603" t="s">
        <v>97</v>
      </c>
      <c r="K112" s="41"/>
    </row>
    <row r="113" spans="1:11" s="5" customFormat="1" ht="132">
      <c r="A113" s="600" t="s">
        <v>183</v>
      </c>
      <c r="B113" s="615">
        <v>44.85</v>
      </c>
      <c r="C113" s="300">
        <v>55.84</v>
      </c>
      <c r="D113" s="300">
        <f t="shared" si="0"/>
        <v>10.990000000000002</v>
      </c>
      <c r="E113" s="479">
        <f t="shared" si="1"/>
        <v>1.2450390189520624</v>
      </c>
      <c r="F113" s="603"/>
      <c r="G113" s="603"/>
      <c r="H113" s="603"/>
      <c r="I113" s="603"/>
      <c r="J113" s="685" t="s">
        <v>54</v>
      </c>
      <c r="K113" s="41"/>
    </row>
    <row r="114" spans="1:11" s="5" customFormat="1" ht="132">
      <c r="A114" s="683" t="s">
        <v>33</v>
      </c>
      <c r="B114" s="615">
        <v>26.5</v>
      </c>
      <c r="C114" s="300">
        <v>31.6</v>
      </c>
      <c r="D114" s="300">
        <f t="shared" si="0"/>
        <v>5.100000000000001</v>
      </c>
      <c r="E114" s="479">
        <f t="shared" si="1"/>
        <v>1.1924528301886792</v>
      </c>
      <c r="F114" s="603"/>
      <c r="G114" s="603"/>
      <c r="H114" s="603"/>
      <c r="I114" s="603"/>
      <c r="J114" s="685" t="s">
        <v>54</v>
      </c>
      <c r="K114" s="41"/>
    </row>
    <row r="115" spans="1:11" s="5" customFormat="1" ht="60.75" customHeight="1">
      <c r="A115" s="600" t="s">
        <v>111</v>
      </c>
      <c r="B115" s="687">
        <v>13</v>
      </c>
      <c r="C115" s="301">
        <v>13</v>
      </c>
      <c r="D115" s="301">
        <f t="shared" si="0"/>
        <v>0</v>
      </c>
      <c r="E115" s="479">
        <f t="shared" si="1"/>
        <v>1</v>
      </c>
      <c r="F115" s="603"/>
      <c r="G115" s="603"/>
      <c r="H115" s="603"/>
      <c r="I115" s="603"/>
      <c r="J115" s="685" t="s">
        <v>55</v>
      </c>
      <c r="K115" s="41"/>
    </row>
    <row r="116" spans="1:11" s="5" customFormat="1" ht="38.25">
      <c r="A116" s="683" t="s">
        <v>57</v>
      </c>
      <c r="B116" s="615">
        <v>35</v>
      </c>
      <c r="C116" s="300">
        <v>16.57</v>
      </c>
      <c r="D116" s="300">
        <f t="shared" si="0"/>
        <v>-18.43</v>
      </c>
      <c r="E116" s="479">
        <f t="shared" si="1"/>
        <v>0.4734285714285714</v>
      </c>
      <c r="F116" s="603"/>
      <c r="G116" s="603"/>
      <c r="H116" s="603"/>
      <c r="I116" s="603"/>
      <c r="J116" s="685" t="s">
        <v>56</v>
      </c>
      <c r="K116" s="41"/>
    </row>
    <row r="117" spans="1:11" s="5" customFormat="1" ht="57" customHeight="1">
      <c r="A117" s="683" t="s">
        <v>754</v>
      </c>
      <c r="B117" s="688">
        <v>1327812</v>
      </c>
      <c r="C117" s="687">
        <v>1369668</v>
      </c>
      <c r="D117" s="301">
        <f t="shared" si="0"/>
        <v>41856</v>
      </c>
      <c r="E117" s="479">
        <f t="shared" si="1"/>
        <v>1.0315225348166759</v>
      </c>
      <c r="F117" s="603"/>
      <c r="G117" s="603"/>
      <c r="H117" s="603"/>
      <c r="I117" s="603"/>
      <c r="J117" s="685"/>
      <c r="K117" s="41"/>
    </row>
    <row r="118" spans="1:11" s="5" customFormat="1" ht="51">
      <c r="A118" s="600" t="s">
        <v>755</v>
      </c>
      <c r="B118" s="615">
        <v>65</v>
      </c>
      <c r="C118" s="300">
        <v>63.67</v>
      </c>
      <c r="D118" s="300">
        <f t="shared" si="0"/>
        <v>-1.3299999999999983</v>
      </c>
      <c r="E118" s="479">
        <f t="shared" si="1"/>
        <v>0.9795384615384616</v>
      </c>
      <c r="F118" s="689"/>
      <c r="G118" s="689"/>
      <c r="H118" s="603"/>
      <c r="I118" s="603"/>
      <c r="J118" s="685" t="s">
        <v>58</v>
      </c>
      <c r="K118" s="41"/>
    </row>
    <row r="119" spans="1:11" s="5" customFormat="1" ht="25.5">
      <c r="A119" s="600" t="s">
        <v>277</v>
      </c>
      <c r="B119" s="687">
        <v>6</v>
      </c>
      <c r="C119" s="301">
        <v>6</v>
      </c>
      <c r="D119" s="300">
        <f t="shared" si="0"/>
        <v>0</v>
      </c>
      <c r="E119" s="479">
        <f t="shared" si="1"/>
        <v>1</v>
      </c>
      <c r="F119" s="689"/>
      <c r="G119" s="689"/>
      <c r="H119" s="603"/>
      <c r="I119" s="603"/>
      <c r="J119" s="603"/>
      <c r="K119" s="41"/>
    </row>
    <row r="120" spans="1:11" s="5" customFormat="1" ht="32.25" customHeight="1">
      <c r="A120" s="600" t="s">
        <v>118</v>
      </c>
      <c r="B120" s="601">
        <v>100</v>
      </c>
      <c r="C120" s="602">
        <v>100</v>
      </c>
      <c r="D120" s="300">
        <f t="shared" si="0"/>
        <v>0</v>
      </c>
      <c r="E120" s="479">
        <f t="shared" si="1"/>
        <v>1</v>
      </c>
      <c r="F120" s="603"/>
      <c r="G120" s="603"/>
      <c r="H120" s="603"/>
      <c r="I120" s="603"/>
      <c r="J120" s="603"/>
      <c r="K120" s="41"/>
    </row>
    <row r="121" spans="1:11" s="5" customFormat="1" ht="32.25" customHeight="1">
      <c r="A121" s="600" t="s">
        <v>59</v>
      </c>
      <c r="B121" s="601"/>
      <c r="C121" s="602"/>
      <c r="D121" s="479"/>
      <c r="E121" s="479"/>
      <c r="F121" s="603"/>
      <c r="G121" s="300">
        <f>G122/G155</f>
        <v>0.48307270701087895</v>
      </c>
      <c r="H121" s="603"/>
      <c r="I121" s="603"/>
      <c r="J121" s="603"/>
      <c r="K121" s="41"/>
    </row>
    <row r="122" spans="1:11" s="5" customFormat="1" ht="12.75">
      <c r="A122" s="690" t="s">
        <v>117</v>
      </c>
      <c r="B122" s="691">
        <f>SUM(B104:B120)</f>
        <v>1386184.35</v>
      </c>
      <c r="C122" s="691">
        <f>SUM(C104:C120)</f>
        <v>1395472.0899999999</v>
      </c>
      <c r="D122" s="691">
        <f>C122-B122</f>
        <v>9287.739999999758</v>
      </c>
      <c r="E122" s="380">
        <f>(SUM(E104:E120))/17</f>
        <v>1.0971261553931562</v>
      </c>
      <c r="F122" s="616">
        <f>SUM(F100:F103)</f>
        <v>98409870.21</v>
      </c>
      <c r="G122" s="616">
        <f>SUM(G100:G103)</f>
        <v>98409870.21</v>
      </c>
      <c r="H122" s="380">
        <f>G122/F122</f>
        <v>1</v>
      </c>
      <c r="I122" s="380">
        <f>E122/H122</f>
        <v>1.0971261553931562</v>
      </c>
      <c r="J122" s="617"/>
      <c r="K122" s="41"/>
    </row>
    <row r="123" spans="1:11" s="5" customFormat="1" ht="12.75">
      <c r="A123" s="798" t="s">
        <v>119</v>
      </c>
      <c r="B123" s="798"/>
      <c r="C123" s="798"/>
      <c r="D123" s="798"/>
      <c r="E123" s="798"/>
      <c r="F123" s="798"/>
      <c r="G123" s="798"/>
      <c r="H123" s="798"/>
      <c r="I123" s="798"/>
      <c r="J123" s="798"/>
      <c r="K123" s="41"/>
    </row>
    <row r="124" spans="1:13" s="38" customFormat="1" ht="12.75">
      <c r="A124" s="604" t="s">
        <v>238</v>
      </c>
      <c r="B124" s="603"/>
      <c r="C124" s="603"/>
      <c r="D124" s="603"/>
      <c r="E124" s="603"/>
      <c r="F124" s="692">
        <v>34605544</v>
      </c>
      <c r="G124" s="692">
        <v>34605544</v>
      </c>
      <c r="H124" s="693">
        <f>G124/F124</f>
        <v>1</v>
      </c>
      <c r="I124" s="607"/>
      <c r="J124" s="607"/>
      <c r="K124" s="225"/>
      <c r="L124" s="37"/>
      <c r="M124" s="37"/>
    </row>
    <row r="125" spans="1:13" s="38" customFormat="1" ht="38.25">
      <c r="A125" s="604" t="s">
        <v>239</v>
      </c>
      <c r="B125" s="603"/>
      <c r="C125" s="603"/>
      <c r="D125" s="603"/>
      <c r="E125" s="603"/>
      <c r="F125" s="694">
        <v>4845514</v>
      </c>
      <c r="G125" s="300">
        <v>4845514</v>
      </c>
      <c r="H125" s="693">
        <f>G125/F125</f>
        <v>1</v>
      </c>
      <c r="I125" s="607"/>
      <c r="J125" s="607"/>
      <c r="K125" s="225"/>
      <c r="L125" s="37"/>
      <c r="M125" s="37"/>
    </row>
    <row r="126" spans="1:13" s="38" customFormat="1" ht="27.75" customHeight="1">
      <c r="A126" s="604" t="s">
        <v>240</v>
      </c>
      <c r="B126" s="603"/>
      <c r="C126" s="603"/>
      <c r="D126" s="603"/>
      <c r="E126" s="603"/>
      <c r="F126" s="694">
        <v>54148075</v>
      </c>
      <c r="G126" s="300">
        <v>54148075</v>
      </c>
      <c r="H126" s="693">
        <f>G126/F126</f>
        <v>1</v>
      </c>
      <c r="I126" s="607"/>
      <c r="J126" s="607"/>
      <c r="K126" s="225"/>
      <c r="L126" s="37"/>
      <c r="M126" s="37"/>
    </row>
    <row r="127" spans="1:13" s="38" customFormat="1" ht="42" customHeight="1">
      <c r="A127" s="683" t="s">
        <v>640</v>
      </c>
      <c r="B127" s="615">
        <v>28</v>
      </c>
      <c r="C127" s="300">
        <v>23.03</v>
      </c>
      <c r="D127" s="301">
        <f aca="true" t="shared" si="2" ref="D127:D137">SUM(C127-B127)</f>
        <v>-4.969999999999999</v>
      </c>
      <c r="E127" s="479">
        <f>SUM(C127/B127)</f>
        <v>0.8225</v>
      </c>
      <c r="F127" s="603"/>
      <c r="G127" s="603"/>
      <c r="H127" s="603"/>
      <c r="I127" s="607"/>
      <c r="J127" s="685" t="s">
        <v>98</v>
      </c>
      <c r="K127" s="225"/>
      <c r="L127" s="37"/>
      <c r="M127" s="37"/>
    </row>
    <row r="128" spans="1:13" s="38" customFormat="1" ht="36">
      <c r="A128" s="695" t="s">
        <v>670</v>
      </c>
      <c r="B128" s="615">
        <v>15</v>
      </c>
      <c r="C128" s="300">
        <v>10.1</v>
      </c>
      <c r="D128" s="300">
        <f t="shared" si="2"/>
        <v>-4.9</v>
      </c>
      <c r="E128" s="479">
        <f>SUM(B128/C128)</f>
        <v>1.4851485148514851</v>
      </c>
      <c r="F128" s="603"/>
      <c r="G128" s="603"/>
      <c r="H128" s="603"/>
      <c r="I128" s="607"/>
      <c r="J128" s="685" t="s">
        <v>98</v>
      </c>
      <c r="K128" s="225"/>
      <c r="L128" s="37"/>
      <c r="M128" s="37"/>
    </row>
    <row r="129" spans="1:13" s="38" customFormat="1" ht="36">
      <c r="A129" s="696" t="s">
        <v>338</v>
      </c>
      <c r="B129" s="615">
        <v>22</v>
      </c>
      <c r="C129" s="300">
        <v>33.23</v>
      </c>
      <c r="D129" s="300">
        <f t="shared" si="2"/>
        <v>11.229999999999997</v>
      </c>
      <c r="E129" s="479">
        <f aca="true" t="shared" si="3" ref="E129:E137">SUM(C129/B129)</f>
        <v>1.5104545454545453</v>
      </c>
      <c r="F129" s="603"/>
      <c r="G129" s="603"/>
      <c r="H129" s="603"/>
      <c r="I129" s="607"/>
      <c r="J129" s="685" t="s">
        <v>98</v>
      </c>
      <c r="K129" s="225"/>
      <c r="L129" s="37"/>
      <c r="M129" s="37"/>
    </row>
    <row r="130" spans="1:13" s="38" customFormat="1" ht="50.25" customHeight="1">
      <c r="A130" s="600" t="s">
        <v>339</v>
      </c>
      <c r="B130" s="615">
        <v>42</v>
      </c>
      <c r="C130" s="300">
        <v>46.6</v>
      </c>
      <c r="D130" s="300">
        <f t="shared" si="2"/>
        <v>4.600000000000001</v>
      </c>
      <c r="E130" s="479">
        <f t="shared" si="3"/>
        <v>1.1095238095238096</v>
      </c>
      <c r="F130" s="603"/>
      <c r="G130" s="603"/>
      <c r="H130" s="603"/>
      <c r="I130" s="607"/>
      <c r="J130" s="685" t="s">
        <v>98</v>
      </c>
      <c r="K130" s="225"/>
      <c r="L130" s="37"/>
      <c r="M130" s="37"/>
    </row>
    <row r="131" spans="1:13" s="38" customFormat="1" ht="63.75">
      <c r="A131" s="600" t="s">
        <v>345</v>
      </c>
      <c r="B131" s="615">
        <v>7</v>
      </c>
      <c r="C131" s="300">
        <v>3.66</v>
      </c>
      <c r="D131" s="300">
        <f t="shared" si="2"/>
        <v>-3.34</v>
      </c>
      <c r="E131" s="479">
        <f t="shared" si="3"/>
        <v>0.5228571428571429</v>
      </c>
      <c r="F131" s="603"/>
      <c r="G131" s="603"/>
      <c r="H131" s="603"/>
      <c r="I131" s="607"/>
      <c r="J131" s="685" t="s">
        <v>60</v>
      </c>
      <c r="K131" s="225"/>
      <c r="L131" s="37"/>
      <c r="M131" s="37"/>
    </row>
    <row r="132" spans="1:13" s="38" customFormat="1" ht="25.5">
      <c r="A132" s="600" t="s">
        <v>346</v>
      </c>
      <c r="B132" s="687">
        <v>15</v>
      </c>
      <c r="C132" s="301">
        <v>6</v>
      </c>
      <c r="D132" s="300">
        <f t="shared" si="2"/>
        <v>-9</v>
      </c>
      <c r="E132" s="479">
        <f t="shared" si="3"/>
        <v>0.4</v>
      </c>
      <c r="F132" s="603"/>
      <c r="G132" s="603"/>
      <c r="H132" s="603"/>
      <c r="I132" s="607"/>
      <c r="J132" s="685" t="s">
        <v>61</v>
      </c>
      <c r="K132" s="225"/>
      <c r="L132" s="37"/>
      <c r="M132" s="37"/>
    </row>
    <row r="133" spans="1:13" s="38" customFormat="1" ht="38.25">
      <c r="A133" s="600" t="s">
        <v>347</v>
      </c>
      <c r="B133" s="687">
        <v>20</v>
      </c>
      <c r="C133" s="301">
        <v>12</v>
      </c>
      <c r="D133" s="300">
        <f t="shared" si="2"/>
        <v>-8</v>
      </c>
      <c r="E133" s="479">
        <f t="shared" si="3"/>
        <v>0.6</v>
      </c>
      <c r="F133" s="603"/>
      <c r="G133" s="603"/>
      <c r="H133" s="603"/>
      <c r="I133" s="607"/>
      <c r="J133" s="697" t="s">
        <v>62</v>
      </c>
      <c r="K133" s="225"/>
      <c r="L133" s="37"/>
      <c r="M133" s="37"/>
    </row>
    <row r="134" spans="1:13" s="38" customFormat="1" ht="48" customHeight="1">
      <c r="A134" s="600" t="s">
        <v>572</v>
      </c>
      <c r="B134" s="687">
        <v>40</v>
      </c>
      <c r="C134" s="687">
        <v>34</v>
      </c>
      <c r="D134" s="300">
        <f t="shared" si="2"/>
        <v>-6</v>
      </c>
      <c r="E134" s="479">
        <f t="shared" si="3"/>
        <v>0.85</v>
      </c>
      <c r="F134" s="603"/>
      <c r="G134" s="603" t="s">
        <v>621</v>
      </c>
      <c r="H134" s="603"/>
      <c r="I134" s="607"/>
      <c r="J134" s="697" t="s">
        <v>63</v>
      </c>
      <c r="K134" s="225"/>
      <c r="L134" s="37"/>
      <c r="M134" s="37"/>
    </row>
    <row r="135" spans="1:13" s="38" customFormat="1" ht="51.75" customHeight="1">
      <c r="A135" s="600" t="s">
        <v>384</v>
      </c>
      <c r="B135" s="687">
        <v>180</v>
      </c>
      <c r="C135" s="301">
        <v>283</v>
      </c>
      <c r="D135" s="300">
        <f t="shared" si="2"/>
        <v>103</v>
      </c>
      <c r="E135" s="479">
        <f t="shared" si="3"/>
        <v>1.5722222222222222</v>
      </c>
      <c r="F135" s="603"/>
      <c r="G135" s="603"/>
      <c r="H135" s="603"/>
      <c r="I135" s="607"/>
      <c r="J135" s="685" t="s">
        <v>64</v>
      </c>
      <c r="K135" s="225"/>
      <c r="L135" s="37"/>
      <c r="M135" s="37"/>
    </row>
    <row r="136" spans="1:13" s="38" customFormat="1" ht="38.25">
      <c r="A136" s="600" t="s">
        <v>106</v>
      </c>
      <c r="B136" s="615">
        <v>70</v>
      </c>
      <c r="C136" s="300">
        <v>50.6</v>
      </c>
      <c r="D136" s="300">
        <f t="shared" si="2"/>
        <v>-19.4</v>
      </c>
      <c r="E136" s="479">
        <f t="shared" si="3"/>
        <v>0.7228571428571429</v>
      </c>
      <c r="F136" s="698"/>
      <c r="G136" s="698"/>
      <c r="H136" s="698"/>
      <c r="I136" s="698"/>
      <c r="J136" s="603" t="s">
        <v>179</v>
      </c>
      <c r="K136" s="225"/>
      <c r="L136" s="37"/>
      <c r="M136" s="37"/>
    </row>
    <row r="137" spans="1:13" s="38" customFormat="1" ht="40.5" customHeight="1">
      <c r="A137" s="600" t="s">
        <v>756</v>
      </c>
      <c r="B137" s="615">
        <v>340</v>
      </c>
      <c r="C137" s="300">
        <v>340</v>
      </c>
      <c r="D137" s="301">
        <f t="shared" si="2"/>
        <v>0</v>
      </c>
      <c r="E137" s="479">
        <f t="shared" si="3"/>
        <v>1</v>
      </c>
      <c r="F137" s="607"/>
      <c r="G137" s="607"/>
      <c r="H137" s="607"/>
      <c r="I137" s="607"/>
      <c r="J137" s="607"/>
      <c r="K137" s="225"/>
      <c r="L137" s="37"/>
      <c r="M137" s="37"/>
    </row>
    <row r="138" spans="1:13" s="38" customFormat="1" ht="25.5">
      <c r="A138" s="600" t="s">
        <v>357</v>
      </c>
      <c r="B138" s="699"/>
      <c r="C138" s="700"/>
      <c r="D138" s="701"/>
      <c r="E138" s="702"/>
      <c r="F138" s="607"/>
      <c r="G138" s="297">
        <f>G139/G155</f>
        <v>0.4594578415325124</v>
      </c>
      <c r="H138" s="607"/>
      <c r="I138" s="607"/>
      <c r="J138" s="607"/>
      <c r="K138" s="225"/>
      <c r="L138" s="37"/>
      <c r="M138" s="37"/>
    </row>
    <row r="139" spans="1:13" s="38" customFormat="1" ht="12.75" customHeight="1">
      <c r="A139" s="690" t="s">
        <v>641</v>
      </c>
      <c r="B139" s="380">
        <f>SUM(B127:B137)</f>
        <v>779</v>
      </c>
      <c r="C139" s="380">
        <f>SUM(C127:C137)</f>
        <v>842.22</v>
      </c>
      <c r="D139" s="380">
        <f>C139-B139</f>
        <v>63.22000000000003</v>
      </c>
      <c r="E139" s="380">
        <f>(SUM(E127:E137))/11</f>
        <v>0.9632330343423953</v>
      </c>
      <c r="F139" s="616">
        <f>SUM(F124:F126)</f>
        <v>93599133</v>
      </c>
      <c r="G139" s="616">
        <f>SUM(G124:G126)</f>
        <v>93599133</v>
      </c>
      <c r="H139" s="616">
        <f>G139/F139</f>
        <v>1</v>
      </c>
      <c r="I139" s="380">
        <f>E139/H139</f>
        <v>0.9632330343423953</v>
      </c>
      <c r="J139" s="617"/>
      <c r="K139" s="225"/>
      <c r="L139" s="37"/>
      <c r="M139" s="37"/>
    </row>
    <row r="140" spans="1:13" s="38" customFormat="1" ht="14.25" customHeight="1">
      <c r="A140" s="781" t="s">
        <v>584</v>
      </c>
      <c r="B140" s="781"/>
      <c r="C140" s="781"/>
      <c r="D140" s="781"/>
      <c r="E140" s="781"/>
      <c r="F140" s="781"/>
      <c r="G140" s="781"/>
      <c r="H140" s="781"/>
      <c r="I140" s="781"/>
      <c r="J140" s="781"/>
      <c r="K140" s="225"/>
      <c r="L140" s="37"/>
      <c r="M140" s="37"/>
    </row>
    <row r="141" spans="1:13" s="38" customFormat="1" ht="25.5">
      <c r="A141" s="703" t="s">
        <v>241</v>
      </c>
      <c r="B141" s="459"/>
      <c r="C141" s="459"/>
      <c r="D141" s="459"/>
      <c r="E141" s="459"/>
      <c r="F141" s="615">
        <v>212366.34</v>
      </c>
      <c r="G141" s="615">
        <v>212366.34</v>
      </c>
      <c r="H141" s="704">
        <f>G141/F141</f>
        <v>1</v>
      </c>
      <c r="I141" s="459"/>
      <c r="J141" s="705"/>
      <c r="K141" s="225"/>
      <c r="L141" s="37"/>
      <c r="M141" s="37"/>
    </row>
    <row r="142" spans="1:13" s="38" customFormat="1" ht="36">
      <c r="A142" s="703" t="s">
        <v>242</v>
      </c>
      <c r="B142" s="459"/>
      <c r="C142" s="459"/>
      <c r="D142" s="459"/>
      <c r="E142" s="459"/>
      <c r="F142" s="692">
        <v>1579606</v>
      </c>
      <c r="G142" s="300">
        <v>1510377.91</v>
      </c>
      <c r="H142" s="300">
        <f>G142/F142</f>
        <v>0.9561738243587324</v>
      </c>
      <c r="I142" s="459"/>
      <c r="J142" s="755" t="s">
        <v>736</v>
      </c>
      <c r="K142" s="225"/>
      <c r="L142" s="37"/>
      <c r="M142" s="37"/>
    </row>
    <row r="143" spans="1:13" s="38" customFormat="1" ht="48">
      <c r="A143" s="600" t="s">
        <v>757</v>
      </c>
      <c r="B143" s="615">
        <v>55.8</v>
      </c>
      <c r="C143" s="300">
        <v>59.86</v>
      </c>
      <c r="D143" s="522">
        <f>SUM(C143-B143)</f>
        <v>4.060000000000002</v>
      </c>
      <c r="E143" s="479">
        <f>SUM(C143/B143)</f>
        <v>1.0727598566308245</v>
      </c>
      <c r="F143" s="706"/>
      <c r="G143" s="706"/>
      <c r="H143" s="616"/>
      <c r="I143" s="380"/>
      <c r="J143" s="707" t="s">
        <v>66</v>
      </c>
      <c r="K143" s="225"/>
      <c r="L143" s="37"/>
      <c r="M143" s="37"/>
    </row>
    <row r="144" spans="1:13" s="38" customFormat="1" ht="60">
      <c r="A144" s="600" t="s">
        <v>758</v>
      </c>
      <c r="B144" s="615">
        <v>250</v>
      </c>
      <c r="C144" s="300">
        <v>102</v>
      </c>
      <c r="D144" s="522">
        <f>SUM(C144-B144)</f>
        <v>-148</v>
      </c>
      <c r="E144" s="479">
        <f>SUM(C144/B144)</f>
        <v>0.408</v>
      </c>
      <c r="F144" s="706"/>
      <c r="G144" s="706"/>
      <c r="H144" s="616"/>
      <c r="I144" s="380"/>
      <c r="J144" s="707" t="s">
        <v>67</v>
      </c>
      <c r="K144" s="225"/>
      <c r="L144" s="37"/>
      <c r="M144" s="37"/>
    </row>
    <row r="145" spans="1:13" s="38" customFormat="1" ht="25.5">
      <c r="A145" s="604" t="s">
        <v>68</v>
      </c>
      <c r="B145" s="708"/>
      <c r="C145" s="708"/>
      <c r="D145" s="709"/>
      <c r="E145" s="710"/>
      <c r="F145" s="711">
        <f>F146/F155</f>
        <v>0.008790912424336108</v>
      </c>
      <c r="G145" s="711">
        <f>G146/G155</f>
        <v>0.008456577846907481</v>
      </c>
      <c r="H145" s="616"/>
      <c r="I145" s="380"/>
      <c r="J145" s="226"/>
      <c r="K145" s="225"/>
      <c r="L145" s="37"/>
      <c r="M145" s="37"/>
    </row>
    <row r="146" spans="1:13" s="38" customFormat="1" ht="12.75" customHeight="1">
      <c r="A146" s="25" t="s">
        <v>100</v>
      </c>
      <c r="B146" s="712">
        <f>B143+B144</f>
        <v>305.8</v>
      </c>
      <c r="C146" s="713">
        <f>C143+C144</f>
        <v>161.86</v>
      </c>
      <c r="D146" s="714">
        <f>C146-B146</f>
        <v>-143.94</v>
      </c>
      <c r="E146" s="715">
        <f>(E143+E144)/2</f>
        <v>0.7403799283154122</v>
      </c>
      <c r="F146" s="616">
        <f>F141+F142</f>
        <v>1791972.34</v>
      </c>
      <c r="G146" s="616">
        <f>G141+G142</f>
        <v>1722744.25</v>
      </c>
      <c r="H146" s="714">
        <f>(H141+H142)/2</f>
        <v>0.9780869121793663</v>
      </c>
      <c r="I146" s="714">
        <f>E146/H146</f>
        <v>0.7569674219090643</v>
      </c>
      <c r="J146" s="226"/>
      <c r="K146" s="225"/>
      <c r="L146" s="37"/>
      <c r="M146" s="37"/>
    </row>
    <row r="147" spans="1:13" s="38" customFormat="1" ht="14.25" customHeight="1">
      <c r="A147" s="798" t="s">
        <v>585</v>
      </c>
      <c r="B147" s="798"/>
      <c r="C147" s="798"/>
      <c r="D147" s="798"/>
      <c r="E147" s="798"/>
      <c r="F147" s="798"/>
      <c r="G147" s="798"/>
      <c r="H147" s="798"/>
      <c r="I147" s="798"/>
      <c r="J147" s="798"/>
      <c r="K147" s="364"/>
      <c r="L147" s="306"/>
      <c r="M147" s="37"/>
    </row>
    <row r="148" spans="1:13" s="38" customFormat="1" ht="38.25">
      <c r="A148" s="716" t="s">
        <v>243</v>
      </c>
      <c r="B148" s="717"/>
      <c r="C148" s="717"/>
      <c r="D148" s="717"/>
      <c r="E148" s="718"/>
      <c r="F148" s="692">
        <v>10042750.05</v>
      </c>
      <c r="G148" s="300">
        <v>9984729.96</v>
      </c>
      <c r="H148" s="300">
        <f>G148/F148</f>
        <v>0.9942226890332694</v>
      </c>
      <c r="I148" s="719"/>
      <c r="J148" s="603"/>
      <c r="K148" s="225"/>
      <c r="L148" s="37"/>
      <c r="M148" s="37"/>
    </row>
    <row r="149" spans="1:13" s="38" customFormat="1" ht="25.5">
      <c r="A149" s="683" t="s">
        <v>669</v>
      </c>
      <c r="B149" s="300">
        <v>4</v>
      </c>
      <c r="C149" s="300">
        <v>4</v>
      </c>
      <c r="D149" s="300">
        <f>SUM(C149-B149)</f>
        <v>0</v>
      </c>
      <c r="E149" s="314">
        <f>SUM(C149/B149)</f>
        <v>1</v>
      </c>
      <c r="F149" s="720"/>
      <c r="G149" s="720"/>
      <c r="H149" s="720"/>
      <c r="I149" s="719"/>
      <c r="J149" s="721"/>
      <c r="K149" s="225"/>
      <c r="L149" s="37"/>
      <c r="M149" s="37"/>
    </row>
    <row r="150" spans="1:13" s="38" customFormat="1" ht="38.25">
      <c r="A150" s="683" t="s">
        <v>671</v>
      </c>
      <c r="B150" s="300">
        <v>4</v>
      </c>
      <c r="C150" s="300">
        <v>4</v>
      </c>
      <c r="D150" s="300">
        <f>SUM(C150-B150)</f>
        <v>0</v>
      </c>
      <c r="E150" s="314">
        <f>SUM(C150/B150)</f>
        <v>1</v>
      </c>
      <c r="F150" s="720"/>
      <c r="G150" s="720"/>
      <c r="H150" s="720"/>
      <c r="I150" s="719"/>
      <c r="J150" s="721"/>
      <c r="K150" s="225"/>
      <c r="L150" s="37"/>
      <c r="M150" s="37"/>
    </row>
    <row r="151" spans="1:13" s="38" customFormat="1" ht="45" customHeight="1">
      <c r="A151" s="683" t="s">
        <v>672</v>
      </c>
      <c r="B151" s="300">
        <v>3</v>
      </c>
      <c r="C151" s="300">
        <v>3</v>
      </c>
      <c r="D151" s="300">
        <f>SUM(C151-B151)</f>
        <v>0</v>
      </c>
      <c r="E151" s="314">
        <f>SUM(C151/B151)</f>
        <v>1</v>
      </c>
      <c r="F151" s="720"/>
      <c r="G151" s="720"/>
      <c r="H151" s="720"/>
      <c r="I151" s="719"/>
      <c r="J151" s="721"/>
      <c r="K151" s="225"/>
      <c r="L151" s="37"/>
      <c r="M151" s="37"/>
    </row>
    <row r="152" spans="1:13" s="38" customFormat="1" ht="40.5" customHeight="1">
      <c r="A152" s="683" t="s">
        <v>647</v>
      </c>
      <c r="B152" s="300">
        <v>5</v>
      </c>
      <c r="C152" s="300">
        <v>5</v>
      </c>
      <c r="D152" s="300">
        <f>SUM(C152-B152)</f>
        <v>0</v>
      </c>
      <c r="E152" s="314">
        <f>SUM(C152/B152)</f>
        <v>1</v>
      </c>
      <c r="F152" s="720"/>
      <c r="G152" s="720"/>
      <c r="H152" s="720"/>
      <c r="I152" s="719"/>
      <c r="J152" s="721"/>
      <c r="K152" s="225"/>
      <c r="L152" s="37"/>
      <c r="M152" s="37"/>
    </row>
    <row r="153" spans="1:13" s="38" customFormat="1" ht="25.5">
      <c r="A153" s="604" t="s">
        <v>69</v>
      </c>
      <c r="B153" s="700"/>
      <c r="C153" s="700"/>
      <c r="D153" s="700"/>
      <c r="E153" s="722"/>
      <c r="F153" s="300">
        <f>F154/F155</f>
        <v>0.04926690787484313</v>
      </c>
      <c r="G153" s="300">
        <f>G154/G155</f>
        <v>0.04901287360970116</v>
      </c>
      <c r="H153" s="720"/>
      <c r="I153" s="719"/>
      <c r="J153" s="721"/>
      <c r="K153" s="225"/>
      <c r="L153" s="37"/>
      <c r="M153" s="37"/>
    </row>
    <row r="154" spans="1:13" s="38" customFormat="1" ht="12.75">
      <c r="A154" s="459" t="s">
        <v>87</v>
      </c>
      <c r="B154" s="691">
        <f>SUM(B149:B152)</f>
        <v>16</v>
      </c>
      <c r="C154" s="691">
        <f>SUM(C149:C152)</f>
        <v>16</v>
      </c>
      <c r="D154" s="723">
        <f>C154-B154</f>
        <v>0</v>
      </c>
      <c r="E154" s="724">
        <f>(E149+E150+E151+E152)/4</f>
        <v>1</v>
      </c>
      <c r="F154" s="616">
        <f>SUM(F147:F152)</f>
        <v>10042750.05</v>
      </c>
      <c r="G154" s="616">
        <f>SUM(G147:G152)</f>
        <v>9984729.96</v>
      </c>
      <c r="H154" s="616">
        <f>G154/F154</f>
        <v>0.9942226890332694</v>
      </c>
      <c r="I154" s="723">
        <f>E154/H154</f>
        <v>1.0058108822404246</v>
      </c>
      <c r="J154" s="617"/>
      <c r="K154" s="225"/>
      <c r="L154" s="37"/>
      <c r="M154" s="37"/>
    </row>
    <row r="155" spans="1:13" s="38" customFormat="1" ht="12.75">
      <c r="A155" s="458" t="s">
        <v>689</v>
      </c>
      <c r="B155" s="725">
        <f>B122+B139+B146+B154</f>
        <v>1387285.1500000001</v>
      </c>
      <c r="C155" s="725">
        <f>C122+C139+C146+C154</f>
        <v>1396492.17</v>
      </c>
      <c r="D155" s="725">
        <f>C155-B155</f>
        <v>9207.019999999786</v>
      </c>
      <c r="E155" s="726">
        <f>(E122+E139+E146+E154)/4</f>
        <v>0.9501847795127409</v>
      </c>
      <c r="F155" s="727">
        <f>F122+F139+F146+F154</f>
        <v>203843725.6</v>
      </c>
      <c r="G155" s="727">
        <f>G122+G139+G146+G154</f>
        <v>203716477.42</v>
      </c>
      <c r="H155" s="727">
        <f>(H122+H139+H146+H154)/4</f>
        <v>0.9930774003031588</v>
      </c>
      <c r="I155" s="726">
        <f>E155/H155</f>
        <v>0.9568083809204359</v>
      </c>
      <c r="J155" s="728"/>
      <c r="K155" s="364"/>
      <c r="L155" s="37"/>
      <c r="M155" s="37"/>
    </row>
    <row r="156" spans="1:11" s="5" customFormat="1" ht="12.75">
      <c r="A156" s="789" t="s">
        <v>125</v>
      </c>
      <c r="B156" s="789"/>
      <c r="C156" s="789"/>
      <c r="D156" s="789"/>
      <c r="E156" s="789"/>
      <c r="F156" s="789"/>
      <c r="G156" s="789"/>
      <c r="H156" s="789"/>
      <c r="I156" s="789"/>
      <c r="J156" s="789"/>
      <c r="K156" s="364"/>
    </row>
    <row r="157" spans="1:11" s="5" customFormat="1" ht="17.25" customHeight="1">
      <c r="A157" s="782" t="s">
        <v>586</v>
      </c>
      <c r="B157" s="782"/>
      <c r="C157" s="782"/>
      <c r="D157" s="782"/>
      <c r="E157" s="782"/>
      <c r="F157" s="782"/>
      <c r="G157" s="782"/>
      <c r="H157" s="782"/>
      <c r="I157" s="782"/>
      <c r="J157" s="782"/>
      <c r="K157" s="41"/>
    </row>
    <row r="158" spans="1:11" s="5" customFormat="1" ht="51">
      <c r="A158" s="24" t="s">
        <v>759</v>
      </c>
      <c r="B158" s="14">
        <v>10</v>
      </c>
      <c r="C158" s="61">
        <v>10</v>
      </c>
      <c r="D158" s="62">
        <f>C158-B158</f>
        <v>0</v>
      </c>
      <c r="E158" s="13">
        <f>C158/B158</f>
        <v>1</v>
      </c>
      <c r="F158" s="12"/>
      <c r="G158" s="12"/>
      <c r="H158" s="13"/>
      <c r="I158" s="13"/>
      <c r="J158" s="26"/>
      <c r="K158" s="41"/>
    </row>
    <row r="159" spans="1:11" s="5" customFormat="1" ht="38.25">
      <c r="A159" s="24" t="s">
        <v>760</v>
      </c>
      <c r="B159" s="61">
        <v>3.6</v>
      </c>
      <c r="C159" s="61">
        <v>3.6</v>
      </c>
      <c r="D159" s="27">
        <f>C159-B159</f>
        <v>0</v>
      </c>
      <c r="E159" s="13">
        <f>C159/B159</f>
        <v>1</v>
      </c>
      <c r="F159" s="12"/>
      <c r="G159" s="12"/>
      <c r="H159" s="13"/>
      <c r="I159" s="13"/>
      <c r="J159" s="4"/>
      <c r="K159" s="41"/>
    </row>
    <row r="160" spans="1:12" s="5" customFormat="1" ht="12.75">
      <c r="A160" s="24" t="s">
        <v>761</v>
      </c>
      <c r="B160" s="61">
        <v>311.8</v>
      </c>
      <c r="C160" s="61">
        <v>311.8</v>
      </c>
      <c r="D160" s="27">
        <f>C160-B160</f>
        <v>0</v>
      </c>
      <c r="E160" s="13">
        <f>C160/B160</f>
        <v>1</v>
      </c>
      <c r="F160" s="12"/>
      <c r="G160" s="12"/>
      <c r="H160" s="13"/>
      <c r="I160" s="13"/>
      <c r="J160" s="24"/>
      <c r="K160" s="41"/>
      <c r="L160" s="63"/>
    </row>
    <row r="161" spans="1:11" s="5" customFormat="1" ht="39.75" customHeight="1">
      <c r="A161" s="24" t="s">
        <v>408</v>
      </c>
      <c r="B161" s="783">
        <v>8</v>
      </c>
      <c r="C161" s="783">
        <v>8</v>
      </c>
      <c r="D161" s="792">
        <f>C161-B161</f>
        <v>0</v>
      </c>
      <c r="E161" s="794">
        <f>C161/B161</f>
        <v>1</v>
      </c>
      <c r="F161" s="780">
        <v>19200</v>
      </c>
      <c r="G161" s="780">
        <v>19200</v>
      </c>
      <c r="H161" s="794">
        <f>G161/F161</f>
        <v>1</v>
      </c>
      <c r="I161" s="794"/>
      <c r="J161" s="796"/>
      <c r="K161" s="41"/>
    </row>
    <row r="162" spans="1:11" s="5" customFormat="1" ht="63" customHeight="1">
      <c r="A162" s="24" t="s">
        <v>762</v>
      </c>
      <c r="B162" s="795"/>
      <c r="C162" s="795"/>
      <c r="D162" s="793"/>
      <c r="E162" s="795"/>
      <c r="F162" s="795"/>
      <c r="G162" s="795"/>
      <c r="H162" s="795"/>
      <c r="I162" s="794"/>
      <c r="J162" s="797"/>
      <c r="K162" s="41"/>
    </row>
    <row r="163" spans="1:11" s="5" customFormat="1" ht="39" customHeight="1">
      <c r="A163" s="24" t="s">
        <v>344</v>
      </c>
      <c r="B163" s="783">
        <v>5</v>
      </c>
      <c r="C163" s="783">
        <v>5</v>
      </c>
      <c r="D163" s="792">
        <f>C163-B163</f>
        <v>0</v>
      </c>
      <c r="E163" s="794">
        <f>C163/B163</f>
        <v>1</v>
      </c>
      <c r="F163" s="780">
        <v>24350</v>
      </c>
      <c r="G163" s="780">
        <v>24350</v>
      </c>
      <c r="H163" s="794">
        <f>G163/F163</f>
        <v>1</v>
      </c>
      <c r="I163" s="794"/>
      <c r="J163" s="809"/>
      <c r="K163" s="41"/>
    </row>
    <row r="164" spans="1:11" s="5" customFormat="1" ht="30.75" customHeight="1">
      <c r="A164" s="24" t="s">
        <v>763</v>
      </c>
      <c r="B164" s="795"/>
      <c r="C164" s="795"/>
      <c r="D164" s="793"/>
      <c r="E164" s="795"/>
      <c r="F164" s="780"/>
      <c r="G164" s="780"/>
      <c r="H164" s="795"/>
      <c r="I164" s="794"/>
      <c r="J164" s="810"/>
      <c r="K164" s="41"/>
    </row>
    <row r="165" spans="1:11" s="5" customFormat="1" ht="25.5">
      <c r="A165" s="604" t="s">
        <v>645</v>
      </c>
      <c r="B165" s="8"/>
      <c r="C165" s="8"/>
      <c r="D165" s="222"/>
      <c r="E165" s="8"/>
      <c r="F165" s="12"/>
      <c r="G165" s="12">
        <f>G166/G178</f>
        <v>1</v>
      </c>
      <c r="H165" s="8"/>
      <c r="I165" s="13"/>
      <c r="J165" s="729"/>
      <c r="K165" s="41"/>
    </row>
    <row r="166" spans="1:11" s="5" customFormat="1" ht="12.75">
      <c r="A166" s="25" t="s">
        <v>117</v>
      </c>
      <c r="B166" s="61">
        <f>SUM(B158:B164)</f>
        <v>338.40000000000003</v>
      </c>
      <c r="C166" s="61">
        <f>SUM(C158:C164)</f>
        <v>338.40000000000003</v>
      </c>
      <c r="D166" s="62">
        <f>C166-B166</f>
        <v>0</v>
      </c>
      <c r="E166" s="13">
        <f>(E158+E159+E160+E161+E163)/5</f>
        <v>1</v>
      </c>
      <c r="F166" s="12">
        <f>SUM(F158:F164)</f>
        <v>43550</v>
      </c>
      <c r="G166" s="12">
        <f>SUM(G158:G164)</f>
        <v>43550</v>
      </c>
      <c r="H166" s="15">
        <f>(H161+H163)/2</f>
        <v>1</v>
      </c>
      <c r="I166" s="15">
        <f>E166/H166</f>
        <v>1</v>
      </c>
      <c r="J166" s="24"/>
      <c r="K166" s="41"/>
    </row>
    <row r="167" spans="1:11" s="5" customFormat="1" ht="12.75">
      <c r="A167" s="811" t="s">
        <v>587</v>
      </c>
      <c r="B167" s="811"/>
      <c r="C167" s="811"/>
      <c r="D167" s="811"/>
      <c r="E167" s="811"/>
      <c r="F167" s="811"/>
      <c r="G167" s="811"/>
      <c r="H167" s="811"/>
      <c r="I167" s="811"/>
      <c r="J167" s="811"/>
      <c r="K167" s="41"/>
    </row>
    <row r="168" spans="1:11" s="5" customFormat="1" ht="12.75" customHeight="1">
      <c r="A168" s="24" t="s">
        <v>782</v>
      </c>
      <c r="B168" s="14">
        <v>3</v>
      </c>
      <c r="C168" s="14">
        <v>7</v>
      </c>
      <c r="D168" s="33">
        <f>C168-B168</f>
        <v>4</v>
      </c>
      <c r="E168" s="15">
        <f>B168/C168</f>
        <v>0.42857142857142855</v>
      </c>
      <c r="F168" s="12"/>
      <c r="G168" s="12"/>
      <c r="H168" s="13"/>
      <c r="I168" s="13"/>
      <c r="J168" s="26"/>
      <c r="K168" s="41"/>
    </row>
    <row r="169" spans="1:11" s="5" customFormat="1" ht="25.5">
      <c r="A169" s="24" t="s">
        <v>187</v>
      </c>
      <c r="B169" s="14">
        <v>0</v>
      </c>
      <c r="C169" s="14">
        <v>0</v>
      </c>
      <c r="D169" s="33">
        <f>C169-B169</f>
        <v>0</v>
      </c>
      <c r="E169" s="15">
        <v>0</v>
      </c>
      <c r="F169" s="12"/>
      <c r="G169" s="12"/>
      <c r="H169" s="13"/>
      <c r="I169" s="13"/>
      <c r="J169" s="34"/>
      <c r="K169" s="41"/>
    </row>
    <row r="170" spans="1:11" s="5" customFormat="1" ht="38.25">
      <c r="A170" s="24" t="s">
        <v>31</v>
      </c>
      <c r="B170" s="14">
        <v>3</v>
      </c>
      <c r="C170" s="14">
        <v>7</v>
      </c>
      <c r="D170" s="33">
        <f>C170-B170</f>
        <v>4</v>
      </c>
      <c r="E170" s="15">
        <f>B170/C170</f>
        <v>0.42857142857142855</v>
      </c>
      <c r="F170" s="12"/>
      <c r="G170" s="12"/>
      <c r="H170" s="13"/>
      <c r="I170" s="13"/>
      <c r="J170" s="34"/>
      <c r="K170" s="41"/>
    </row>
    <row r="171" spans="1:11" s="5" customFormat="1" ht="25.5">
      <c r="A171" s="24" t="s">
        <v>764</v>
      </c>
      <c r="B171" s="14">
        <v>0</v>
      </c>
      <c r="C171" s="14">
        <v>0</v>
      </c>
      <c r="D171" s="33">
        <f>C171-B171</f>
        <v>0</v>
      </c>
      <c r="E171" s="15">
        <v>1</v>
      </c>
      <c r="F171" s="12"/>
      <c r="G171" s="12"/>
      <c r="H171" s="13"/>
      <c r="I171" s="13"/>
      <c r="J171" s="34"/>
      <c r="K171" s="41"/>
    </row>
    <row r="172" spans="1:11" s="5" customFormat="1" ht="38.25">
      <c r="A172" s="24" t="s">
        <v>649</v>
      </c>
      <c r="B172" s="812">
        <v>92</v>
      </c>
      <c r="C172" s="812">
        <v>86.1</v>
      </c>
      <c r="D172" s="792">
        <f>C172-B172</f>
        <v>-5.900000000000006</v>
      </c>
      <c r="E172" s="794">
        <f>C172/B172</f>
        <v>0.9358695652173913</v>
      </c>
      <c r="F172" s="780">
        <v>21000</v>
      </c>
      <c r="G172" s="780">
        <v>0</v>
      </c>
      <c r="H172" s="780">
        <f>G172/F172</f>
        <v>0</v>
      </c>
      <c r="I172" s="794"/>
      <c r="J172" s="808" t="s">
        <v>644</v>
      </c>
      <c r="K172" s="41"/>
    </row>
    <row r="173" spans="1:11" s="5" customFormat="1" ht="27" customHeight="1">
      <c r="A173" s="24" t="s">
        <v>113</v>
      </c>
      <c r="B173" s="812"/>
      <c r="C173" s="812"/>
      <c r="D173" s="792"/>
      <c r="E173" s="794"/>
      <c r="F173" s="780"/>
      <c r="G173" s="780"/>
      <c r="H173" s="780"/>
      <c r="I173" s="794"/>
      <c r="J173" s="808"/>
      <c r="K173" s="41"/>
    </row>
    <row r="174" spans="1:11" s="5" customFormat="1" ht="42.75" customHeight="1">
      <c r="A174" s="24" t="s">
        <v>32</v>
      </c>
      <c r="B174" s="783">
        <v>0</v>
      </c>
      <c r="C174" s="783">
        <v>1</v>
      </c>
      <c r="D174" s="792">
        <f>C174-B174</f>
        <v>1</v>
      </c>
      <c r="E174" s="794">
        <v>1</v>
      </c>
      <c r="F174" s="780"/>
      <c r="G174" s="780"/>
      <c r="H174" s="794"/>
      <c r="I174" s="794"/>
      <c r="J174" s="777"/>
      <c r="K174" s="41"/>
    </row>
    <row r="175" spans="1:11" s="5" customFormat="1" ht="33" customHeight="1">
      <c r="A175" s="26" t="s">
        <v>765</v>
      </c>
      <c r="B175" s="795"/>
      <c r="C175" s="795"/>
      <c r="D175" s="793"/>
      <c r="E175" s="795"/>
      <c r="F175" s="795"/>
      <c r="G175" s="795"/>
      <c r="H175" s="795"/>
      <c r="I175" s="795"/>
      <c r="J175" s="777"/>
      <c r="K175" s="41"/>
    </row>
    <row r="176" spans="1:11" s="5" customFormat="1" ht="25.5">
      <c r="A176" s="604" t="s">
        <v>646</v>
      </c>
      <c r="B176" s="8"/>
      <c r="C176" s="8"/>
      <c r="D176" s="222"/>
      <c r="E176" s="8"/>
      <c r="F176" s="8"/>
      <c r="G176" s="8">
        <f>G177/G178</f>
        <v>0</v>
      </c>
      <c r="H176" s="8"/>
      <c r="I176" s="8"/>
      <c r="J176" s="26"/>
      <c r="K176" s="41"/>
    </row>
    <row r="177" spans="1:11" s="5" customFormat="1" ht="12.75">
      <c r="A177" s="25" t="s">
        <v>641</v>
      </c>
      <c r="B177" s="653">
        <f>B168++B171+B172+B174</f>
        <v>95</v>
      </c>
      <c r="C177" s="653">
        <f>C168++C171+C172+C174</f>
        <v>94.1</v>
      </c>
      <c r="D177" s="730">
        <f>C177-B177</f>
        <v>-0.9000000000000057</v>
      </c>
      <c r="E177" s="731">
        <f>(E168+E171+E172+E174)/4</f>
        <v>0.841110248447205</v>
      </c>
      <c r="F177" s="16">
        <f>F168+F171+F172+F174</f>
        <v>21000</v>
      </c>
      <c r="G177" s="16">
        <f>G168+G171+G172+G174</f>
        <v>0</v>
      </c>
      <c r="H177" s="732">
        <f>H172</f>
        <v>0</v>
      </c>
      <c r="I177" s="733">
        <v>0</v>
      </c>
      <c r="J177" s="34"/>
      <c r="K177" s="41"/>
    </row>
    <row r="178" spans="1:11" s="5" customFormat="1" ht="12.75">
      <c r="A178" s="379" t="s">
        <v>294</v>
      </c>
      <c r="B178" s="381">
        <f>B166+B177</f>
        <v>433.40000000000003</v>
      </c>
      <c r="C178" s="381">
        <f>C166+C177</f>
        <v>432.5</v>
      </c>
      <c r="D178" s="382">
        <f>C178-B178</f>
        <v>-0.9000000000000341</v>
      </c>
      <c r="E178" s="383">
        <f>(E166+E177)/2</f>
        <v>0.9205551242236025</v>
      </c>
      <c r="F178" s="373">
        <f>F166+F177</f>
        <v>64550</v>
      </c>
      <c r="G178" s="373">
        <f>G166+G177</f>
        <v>43550</v>
      </c>
      <c r="H178" s="384">
        <f>(H166+H177)/2</f>
        <v>0.5</v>
      </c>
      <c r="I178" s="450">
        <f>E178/H178</f>
        <v>1.841110248447205</v>
      </c>
      <c r="J178" s="383"/>
      <c r="K178" s="41"/>
    </row>
    <row r="179" spans="1:11" s="5" customFormat="1" ht="12.75">
      <c r="A179" s="789" t="s">
        <v>204</v>
      </c>
      <c r="B179" s="789"/>
      <c r="C179" s="789"/>
      <c r="D179" s="789"/>
      <c r="E179" s="789"/>
      <c r="F179" s="789"/>
      <c r="G179" s="789"/>
      <c r="H179" s="789"/>
      <c r="I179" s="789"/>
      <c r="J179" s="789"/>
      <c r="K179" s="41"/>
    </row>
    <row r="180" spans="1:11" s="5" customFormat="1" ht="76.5">
      <c r="A180" s="24" t="s">
        <v>74</v>
      </c>
      <c r="B180" s="48"/>
      <c r="C180" s="48"/>
      <c r="D180" s="33"/>
      <c r="E180" s="13"/>
      <c r="F180" s="12">
        <v>126700</v>
      </c>
      <c r="G180" s="12">
        <v>99200</v>
      </c>
      <c r="H180" s="15">
        <f>G180/F180</f>
        <v>0.7829518547750592</v>
      </c>
      <c r="I180" s="13"/>
      <c r="J180" s="42" t="s">
        <v>739</v>
      </c>
      <c r="K180" s="41"/>
    </row>
    <row r="181" spans="1:12" s="5" customFormat="1" ht="25.5">
      <c r="A181" s="21" t="s">
        <v>76</v>
      </c>
      <c r="B181" s="33">
        <v>8</v>
      </c>
      <c r="C181" s="33">
        <v>7</v>
      </c>
      <c r="D181" s="33">
        <f aca="true" t="shared" si="4" ref="D181:D209">C181-B181</f>
        <v>-1</v>
      </c>
      <c r="E181" s="13">
        <f aca="true" t="shared" si="5" ref="E181:E190">C181/B181</f>
        <v>0.875</v>
      </c>
      <c r="F181" s="124"/>
      <c r="G181" s="124"/>
      <c r="H181" s="15"/>
      <c r="I181" s="16"/>
      <c r="J181" s="307"/>
      <c r="K181" s="41"/>
      <c r="L181" s="41"/>
    </row>
    <row r="182" spans="1:11" s="5" customFormat="1" ht="12.75" hidden="1">
      <c r="A182" s="1" t="s">
        <v>673</v>
      </c>
      <c r="B182" s="9">
        <v>3</v>
      </c>
      <c r="C182" s="2">
        <v>2</v>
      </c>
      <c r="D182" s="2">
        <f t="shared" si="4"/>
        <v>-1</v>
      </c>
      <c r="E182" s="308">
        <f t="shared" si="5"/>
        <v>0.6666666666666666</v>
      </c>
      <c r="F182" s="20"/>
      <c r="G182" s="20"/>
      <c r="H182" s="309"/>
      <c r="I182" s="309"/>
      <c r="J182" s="307"/>
      <c r="K182" s="41"/>
    </row>
    <row r="183" spans="1:11" s="5" customFormat="1" ht="12.75" hidden="1">
      <c r="A183" s="1" t="s">
        <v>349</v>
      </c>
      <c r="B183" s="9">
        <v>4</v>
      </c>
      <c r="C183" s="2">
        <v>4</v>
      </c>
      <c r="D183" s="2">
        <f t="shared" si="4"/>
        <v>0</v>
      </c>
      <c r="E183" s="308">
        <f t="shared" si="5"/>
        <v>1</v>
      </c>
      <c r="F183" s="20"/>
      <c r="G183" s="20"/>
      <c r="H183" s="309"/>
      <c r="I183" s="309"/>
      <c r="J183" s="307"/>
      <c r="K183" s="41"/>
    </row>
    <row r="184" spans="1:11" s="5" customFormat="1" ht="12.75" hidden="1">
      <c r="A184" s="1" t="s">
        <v>430</v>
      </c>
      <c r="B184" s="9">
        <v>1</v>
      </c>
      <c r="C184" s="2">
        <v>1</v>
      </c>
      <c r="D184" s="2">
        <f t="shared" si="4"/>
        <v>0</v>
      </c>
      <c r="E184" s="308">
        <f t="shared" si="5"/>
        <v>1</v>
      </c>
      <c r="F184" s="20"/>
      <c r="G184" s="20"/>
      <c r="H184" s="309"/>
      <c r="I184" s="309"/>
      <c r="J184" s="46"/>
      <c r="K184" s="41"/>
    </row>
    <row r="185" spans="1:11" s="5" customFormat="1" ht="38.25">
      <c r="A185" s="24" t="s">
        <v>75</v>
      </c>
      <c r="B185" s="310">
        <v>28</v>
      </c>
      <c r="C185" s="310">
        <v>26</v>
      </c>
      <c r="D185" s="12">
        <f t="shared" si="4"/>
        <v>-2</v>
      </c>
      <c r="E185" s="12">
        <f t="shared" si="5"/>
        <v>0.9285714285714286</v>
      </c>
      <c r="F185" s="12"/>
      <c r="G185" s="96"/>
      <c r="H185" s="15"/>
      <c r="I185" s="16"/>
      <c r="J185" s="46"/>
      <c r="K185" s="41"/>
    </row>
    <row r="186" spans="1:11" s="5" customFormat="1" ht="12.75" hidden="1">
      <c r="A186" s="1" t="s">
        <v>673</v>
      </c>
      <c r="B186" s="9">
        <v>2</v>
      </c>
      <c r="C186" s="9">
        <v>0</v>
      </c>
      <c r="D186" s="2">
        <f t="shared" si="4"/>
        <v>-2</v>
      </c>
      <c r="E186" s="308">
        <f t="shared" si="5"/>
        <v>0</v>
      </c>
      <c r="F186" s="20">
        <v>20000</v>
      </c>
      <c r="G186" s="20">
        <v>0</v>
      </c>
      <c r="H186" s="309"/>
      <c r="I186" s="309"/>
      <c r="J186" s="46"/>
      <c r="K186" s="41"/>
    </row>
    <row r="187" spans="1:11" s="5" customFormat="1" ht="12.75" hidden="1">
      <c r="A187" s="1" t="s">
        <v>638</v>
      </c>
      <c r="B187" s="9">
        <v>6</v>
      </c>
      <c r="C187" s="9">
        <v>6</v>
      </c>
      <c r="D187" s="2">
        <f t="shared" si="4"/>
        <v>0</v>
      </c>
      <c r="E187" s="308">
        <f t="shared" si="5"/>
        <v>1</v>
      </c>
      <c r="F187" s="20">
        <v>0</v>
      </c>
      <c r="G187" s="20">
        <v>0</v>
      </c>
      <c r="H187" s="309"/>
      <c r="I187" s="309"/>
      <c r="J187" s="46"/>
      <c r="K187" s="41"/>
    </row>
    <row r="188" spans="1:11" s="5" customFormat="1" ht="12.75" hidden="1">
      <c r="A188" s="1" t="s">
        <v>686</v>
      </c>
      <c r="B188" s="9">
        <v>1</v>
      </c>
      <c r="C188" s="9">
        <v>1</v>
      </c>
      <c r="D188" s="2">
        <f t="shared" si="4"/>
        <v>0</v>
      </c>
      <c r="E188" s="308">
        <f t="shared" si="5"/>
        <v>1</v>
      </c>
      <c r="F188" s="20">
        <v>2800</v>
      </c>
      <c r="G188" s="20">
        <v>2800</v>
      </c>
      <c r="H188" s="309"/>
      <c r="I188" s="309"/>
      <c r="J188" s="46"/>
      <c r="K188" s="41"/>
    </row>
    <row r="189" spans="1:11" s="5" customFormat="1" ht="12.75" hidden="1">
      <c r="A189" s="1" t="s">
        <v>348</v>
      </c>
      <c r="B189" s="9">
        <v>11</v>
      </c>
      <c r="C189" s="9">
        <v>11</v>
      </c>
      <c r="D189" s="2">
        <f t="shared" si="4"/>
        <v>0</v>
      </c>
      <c r="E189" s="308">
        <f t="shared" si="5"/>
        <v>1</v>
      </c>
      <c r="F189" s="20">
        <v>36400</v>
      </c>
      <c r="G189" s="20">
        <v>36400</v>
      </c>
      <c r="H189" s="309"/>
      <c r="I189" s="309"/>
      <c r="J189" s="9"/>
      <c r="K189" s="41"/>
    </row>
    <row r="190" spans="1:11" s="5" customFormat="1" ht="12.75" hidden="1">
      <c r="A190" s="1" t="s">
        <v>675</v>
      </c>
      <c r="B190" s="9">
        <v>2</v>
      </c>
      <c r="C190" s="9">
        <v>2</v>
      </c>
      <c r="D190" s="2">
        <f t="shared" si="4"/>
        <v>0</v>
      </c>
      <c r="E190" s="308">
        <f t="shared" si="5"/>
        <v>1</v>
      </c>
      <c r="F190" s="20">
        <v>0</v>
      </c>
      <c r="G190" s="20">
        <v>0</v>
      </c>
      <c r="H190" s="309"/>
      <c r="I190" s="309"/>
      <c r="J190" s="9"/>
      <c r="K190" s="41"/>
    </row>
    <row r="191" spans="1:11" s="5" customFormat="1" ht="12.75" hidden="1">
      <c r="A191" s="1" t="s">
        <v>349</v>
      </c>
      <c r="B191" s="9">
        <v>2</v>
      </c>
      <c r="C191" s="9">
        <v>2</v>
      </c>
      <c r="D191" s="2">
        <f t="shared" si="4"/>
        <v>0</v>
      </c>
      <c r="E191" s="308">
        <f>C191/B191</f>
        <v>1</v>
      </c>
      <c r="F191" s="20">
        <v>16000</v>
      </c>
      <c r="G191" s="20">
        <v>16000</v>
      </c>
      <c r="H191" s="309"/>
      <c r="I191" s="309"/>
      <c r="J191" s="9"/>
      <c r="K191" s="41"/>
    </row>
    <row r="192" spans="1:11" s="5" customFormat="1" ht="28.5" customHeight="1" hidden="1">
      <c r="A192" s="1" t="s">
        <v>674</v>
      </c>
      <c r="B192" s="9">
        <v>4</v>
      </c>
      <c r="C192" s="9">
        <v>4</v>
      </c>
      <c r="D192" s="2">
        <f t="shared" si="4"/>
        <v>0</v>
      </c>
      <c r="E192" s="308">
        <f>C192/B192</f>
        <v>1</v>
      </c>
      <c r="F192" s="20">
        <v>29900</v>
      </c>
      <c r="G192" s="20">
        <v>29900</v>
      </c>
      <c r="H192" s="309"/>
      <c r="I192" s="309"/>
      <c r="J192" s="9"/>
      <c r="K192" s="41"/>
    </row>
    <row r="193" spans="1:11" s="5" customFormat="1" ht="27" customHeight="1">
      <c r="A193" s="24" t="s">
        <v>73</v>
      </c>
      <c r="B193" s="64"/>
      <c r="C193" s="64"/>
      <c r="D193" s="65"/>
      <c r="E193" s="308"/>
      <c r="F193" s="20">
        <v>565677.83</v>
      </c>
      <c r="G193" s="20">
        <f>SUM(G194:G203)</f>
        <v>535563.83</v>
      </c>
      <c r="H193" s="66">
        <f>G193/F193</f>
        <v>0.9467647512365829</v>
      </c>
      <c r="I193" s="31"/>
      <c r="J193" s="42" t="s">
        <v>740</v>
      </c>
      <c r="K193" s="41"/>
    </row>
    <row r="194" spans="1:11" s="5" customFormat="1" ht="12.75" hidden="1">
      <c r="A194" s="1" t="s">
        <v>430</v>
      </c>
      <c r="B194" s="2">
        <v>21</v>
      </c>
      <c r="C194" s="2">
        <v>21</v>
      </c>
      <c r="D194" s="2">
        <f t="shared" si="4"/>
        <v>0</v>
      </c>
      <c r="E194" s="308">
        <f>C194/B194</f>
        <v>1</v>
      </c>
      <c r="F194" s="20">
        <v>72660</v>
      </c>
      <c r="G194" s="20">
        <v>72660</v>
      </c>
      <c r="H194" s="309"/>
      <c r="I194" s="309"/>
      <c r="J194" s="9"/>
      <c r="K194" s="41"/>
    </row>
    <row r="195" spans="1:11" s="5" customFormat="1" ht="16.5" customHeight="1" hidden="1">
      <c r="A195" s="1" t="s">
        <v>638</v>
      </c>
      <c r="B195" s="2">
        <v>7</v>
      </c>
      <c r="C195" s="2">
        <v>7</v>
      </c>
      <c r="D195" s="2">
        <f>C195-B195</f>
        <v>0</v>
      </c>
      <c r="E195" s="308">
        <f>C195/B195</f>
        <v>1</v>
      </c>
      <c r="F195" s="20">
        <v>25139</v>
      </c>
      <c r="G195" s="20">
        <v>25139</v>
      </c>
      <c r="H195" s="309"/>
      <c r="I195" s="309"/>
      <c r="J195" s="9"/>
      <c r="K195" s="41"/>
    </row>
    <row r="196" spans="1:11" s="5" customFormat="1" ht="12.75" hidden="1">
      <c r="A196" s="1" t="s">
        <v>431</v>
      </c>
      <c r="B196" s="2">
        <v>54</v>
      </c>
      <c r="C196" s="2">
        <v>54</v>
      </c>
      <c r="D196" s="2">
        <f aca="true" t="shared" si="6" ref="D196:D205">C196-B196</f>
        <v>0</v>
      </c>
      <c r="E196" s="308">
        <f aca="true" t="shared" si="7" ref="E196:E203">C196/B196</f>
        <v>1</v>
      </c>
      <c r="F196" s="579">
        <v>261174.83</v>
      </c>
      <c r="G196" s="579">
        <v>261174.83</v>
      </c>
      <c r="H196" s="309"/>
      <c r="I196" s="309"/>
      <c r="J196" s="9"/>
      <c r="K196" s="41"/>
    </row>
    <row r="197" spans="1:11" s="5" customFormat="1" ht="12.75" hidden="1">
      <c r="A197" s="1" t="s">
        <v>675</v>
      </c>
      <c r="B197" s="2">
        <v>6</v>
      </c>
      <c r="C197" s="2">
        <v>6</v>
      </c>
      <c r="D197" s="2">
        <f t="shared" si="6"/>
        <v>0</v>
      </c>
      <c r="E197" s="308">
        <f t="shared" si="7"/>
        <v>1</v>
      </c>
      <c r="F197" s="20">
        <v>32706</v>
      </c>
      <c r="G197" s="20">
        <v>32706</v>
      </c>
      <c r="H197" s="309"/>
      <c r="I197" s="309"/>
      <c r="J197" s="9"/>
      <c r="K197" s="41"/>
    </row>
    <row r="198" spans="1:11" s="5" customFormat="1" ht="12.75" hidden="1">
      <c r="A198" s="1" t="s">
        <v>676</v>
      </c>
      <c r="B198" s="2">
        <v>9</v>
      </c>
      <c r="C198" s="2">
        <v>9</v>
      </c>
      <c r="D198" s="2">
        <f t="shared" si="6"/>
        <v>0</v>
      </c>
      <c r="E198" s="308">
        <f t="shared" si="7"/>
        <v>1</v>
      </c>
      <c r="F198" s="20">
        <v>48939</v>
      </c>
      <c r="G198" s="20">
        <v>46689</v>
      </c>
      <c r="H198" s="309"/>
      <c r="I198" s="309"/>
      <c r="J198" s="9"/>
      <c r="K198" s="41"/>
    </row>
    <row r="199" spans="1:11" s="5" customFormat="1" ht="12.75" hidden="1">
      <c r="A199" s="1" t="s">
        <v>639</v>
      </c>
      <c r="B199" s="2">
        <v>2</v>
      </c>
      <c r="C199" s="2">
        <v>2</v>
      </c>
      <c r="D199" s="2">
        <f t="shared" si="6"/>
        <v>0</v>
      </c>
      <c r="E199" s="308">
        <f t="shared" si="7"/>
        <v>1</v>
      </c>
      <c r="F199" s="20">
        <v>8710</v>
      </c>
      <c r="G199" s="20">
        <v>8710</v>
      </c>
      <c r="H199" s="309"/>
      <c r="I199" s="309"/>
      <c r="J199" s="9"/>
      <c r="K199" s="41"/>
    </row>
    <row r="200" spans="1:11" s="5" customFormat="1" ht="12.75" hidden="1">
      <c r="A200" s="1" t="s">
        <v>686</v>
      </c>
      <c r="B200" s="2">
        <v>4</v>
      </c>
      <c r="C200" s="2">
        <v>4</v>
      </c>
      <c r="D200" s="2">
        <f t="shared" si="6"/>
        <v>0</v>
      </c>
      <c r="E200" s="308">
        <f t="shared" si="7"/>
        <v>1</v>
      </c>
      <c r="F200" s="20">
        <v>18700</v>
      </c>
      <c r="G200" s="20">
        <v>18700</v>
      </c>
      <c r="H200" s="309"/>
      <c r="I200" s="309"/>
      <c r="J200" s="9"/>
      <c r="K200" s="41"/>
    </row>
    <row r="201" spans="1:11" s="5" customFormat="1" ht="12.75" hidden="1">
      <c r="A201" s="1" t="s">
        <v>432</v>
      </c>
      <c r="B201" s="2">
        <v>4</v>
      </c>
      <c r="C201" s="2">
        <v>4</v>
      </c>
      <c r="D201" s="2">
        <f t="shared" si="6"/>
        <v>0</v>
      </c>
      <c r="E201" s="308">
        <f t="shared" si="7"/>
        <v>1</v>
      </c>
      <c r="F201" s="20">
        <v>18016</v>
      </c>
      <c r="G201" s="20">
        <v>18016</v>
      </c>
      <c r="H201" s="309"/>
      <c r="I201" s="309"/>
      <c r="J201" s="9"/>
      <c r="K201" s="41"/>
    </row>
    <row r="202" spans="1:11" s="5" customFormat="1" ht="12.75" hidden="1">
      <c r="A202" s="1" t="s">
        <v>433</v>
      </c>
      <c r="B202" s="2">
        <v>16</v>
      </c>
      <c r="C202" s="2">
        <v>13</v>
      </c>
      <c r="D202" s="2">
        <f t="shared" si="6"/>
        <v>-3</v>
      </c>
      <c r="E202" s="308">
        <f t="shared" si="7"/>
        <v>0.8125</v>
      </c>
      <c r="F202" s="20">
        <v>71383</v>
      </c>
      <c r="G202" s="20">
        <v>43519</v>
      </c>
      <c r="H202" s="309"/>
      <c r="I202" s="309"/>
      <c r="J202" s="9"/>
      <c r="K202" s="41"/>
    </row>
    <row r="203" spans="1:11" s="5" customFormat="1" ht="12.75" hidden="1">
      <c r="A203" s="1" t="s">
        <v>674</v>
      </c>
      <c r="B203" s="2">
        <v>2</v>
      </c>
      <c r="C203" s="2">
        <v>2</v>
      </c>
      <c r="D203" s="2">
        <f t="shared" si="6"/>
        <v>0</v>
      </c>
      <c r="E203" s="308">
        <f t="shared" si="7"/>
        <v>1</v>
      </c>
      <c r="F203" s="20">
        <v>8250</v>
      </c>
      <c r="G203" s="20">
        <v>8250</v>
      </c>
      <c r="H203" s="309"/>
      <c r="I203" s="309"/>
      <c r="J203" s="9"/>
      <c r="K203" s="41"/>
    </row>
    <row r="204" spans="1:11" s="5" customFormat="1" ht="38.25">
      <c r="A204" s="24" t="s">
        <v>291</v>
      </c>
      <c r="B204" s="311">
        <v>20.14</v>
      </c>
      <c r="C204" s="580">
        <v>18.71</v>
      </c>
      <c r="D204" s="311">
        <f t="shared" si="6"/>
        <v>-1.4299999999999997</v>
      </c>
      <c r="E204" s="309">
        <f>C204/B204</f>
        <v>0.9289970208540219</v>
      </c>
      <c r="F204" s="312"/>
      <c r="G204" s="312"/>
      <c r="H204" s="309"/>
      <c r="I204" s="309"/>
      <c r="J204" s="9"/>
      <c r="K204" s="41"/>
    </row>
    <row r="205" spans="1:11" s="5" customFormat="1" ht="76.5">
      <c r="A205" s="24" t="s">
        <v>292</v>
      </c>
      <c r="B205" s="313">
        <v>100</v>
      </c>
      <c r="C205" s="313">
        <v>100</v>
      </c>
      <c r="D205" s="311">
        <f t="shared" si="6"/>
        <v>0</v>
      </c>
      <c r="E205" s="309">
        <f>C205/B205</f>
        <v>1</v>
      </c>
      <c r="F205" s="312"/>
      <c r="G205" s="312"/>
      <c r="H205" s="309"/>
      <c r="I205" s="309"/>
      <c r="J205" s="9"/>
      <c r="K205" s="41"/>
    </row>
    <row r="206" spans="1:11" s="5" customFormat="1" ht="38.25">
      <c r="A206" s="24" t="s">
        <v>434</v>
      </c>
      <c r="B206" s="313">
        <v>89.93</v>
      </c>
      <c r="C206" s="499">
        <v>87.77</v>
      </c>
      <c r="D206" s="311">
        <f>C206-B206</f>
        <v>-2.160000000000011</v>
      </c>
      <c r="E206" s="309">
        <f>C206/B206</f>
        <v>0.9759813188035137</v>
      </c>
      <c r="F206" s="312"/>
      <c r="G206" s="312"/>
      <c r="H206" s="309"/>
      <c r="I206" s="309"/>
      <c r="J206" s="9"/>
      <c r="K206" s="41"/>
    </row>
    <row r="207" spans="1:11" s="5" customFormat="1" ht="38.25">
      <c r="A207" s="24" t="s">
        <v>16</v>
      </c>
      <c r="B207" s="313" t="s">
        <v>290</v>
      </c>
      <c r="C207" s="499" t="s">
        <v>290</v>
      </c>
      <c r="D207" s="311">
        <v>0</v>
      </c>
      <c r="E207" s="309">
        <v>1</v>
      </c>
      <c r="F207" s="312"/>
      <c r="G207" s="312"/>
      <c r="H207" s="309"/>
      <c r="I207" s="309"/>
      <c r="J207" s="9"/>
      <c r="K207" s="41"/>
    </row>
    <row r="208" spans="1:11" s="5" customFormat="1" ht="38.25">
      <c r="A208" s="24" t="s">
        <v>17</v>
      </c>
      <c r="B208" s="313" t="s">
        <v>290</v>
      </c>
      <c r="C208" s="499" t="s">
        <v>290</v>
      </c>
      <c r="D208" s="311">
        <v>0</v>
      </c>
      <c r="E208" s="309">
        <v>1</v>
      </c>
      <c r="F208" s="312"/>
      <c r="G208" s="312"/>
      <c r="H208" s="309"/>
      <c r="I208" s="309"/>
      <c r="J208" s="9"/>
      <c r="K208" s="41"/>
    </row>
    <row r="209" spans="1:11" s="5" customFormat="1" ht="12.75">
      <c r="A209" s="379" t="s">
        <v>295</v>
      </c>
      <c r="B209" s="382">
        <f>B181+B185+B204+B205+B206</f>
        <v>246.07</v>
      </c>
      <c r="C209" s="382">
        <f>C181+C185+C204+C205+C206</f>
        <v>239.48000000000002</v>
      </c>
      <c r="D209" s="382">
        <f t="shared" si="4"/>
        <v>-6.589999999999975</v>
      </c>
      <c r="E209" s="383">
        <f>(E181+E185+E204+E205+E206+E207+E208)/7</f>
        <v>0.9583642526041377</v>
      </c>
      <c r="F209" s="385">
        <f>F180+F193</f>
        <v>692377.83</v>
      </c>
      <c r="G209" s="385">
        <f>G180+G193</f>
        <v>634763.83</v>
      </c>
      <c r="H209" s="383">
        <f>(H180+H193)/2</f>
        <v>0.864858303005821</v>
      </c>
      <c r="I209" s="383">
        <f>E209/H209</f>
        <v>1.1081170745234636</v>
      </c>
      <c r="J209" s="386"/>
      <c r="K209" s="41"/>
    </row>
    <row r="210" spans="1:11" s="5" customFormat="1" ht="12.75">
      <c r="A210" s="789" t="s">
        <v>552</v>
      </c>
      <c r="B210" s="789"/>
      <c r="C210" s="789"/>
      <c r="D210" s="789"/>
      <c r="E210" s="789"/>
      <c r="F210" s="789"/>
      <c r="G210" s="789"/>
      <c r="H210" s="789"/>
      <c r="I210" s="789"/>
      <c r="J210" s="789"/>
      <c r="K210" s="41"/>
    </row>
    <row r="211" spans="1:11" s="5" customFormat="1" ht="38.25">
      <c r="A211" s="68" t="s">
        <v>407</v>
      </c>
      <c r="B211" s="69"/>
      <c r="C211" s="69"/>
      <c r="D211" s="69"/>
      <c r="E211" s="70"/>
      <c r="F211" s="78">
        <v>258212030.94</v>
      </c>
      <c r="G211" s="78">
        <v>258212030.94</v>
      </c>
      <c r="H211" s="70">
        <f aca="true" t="shared" si="8" ref="H211:H250">G211/F211</f>
        <v>1</v>
      </c>
      <c r="I211" s="70"/>
      <c r="J211" s="3"/>
      <c r="K211" s="41"/>
    </row>
    <row r="212" spans="1:11" s="5" customFormat="1" ht="76.5">
      <c r="A212" s="72" t="s">
        <v>184</v>
      </c>
      <c r="B212" s="69"/>
      <c r="C212" s="69"/>
      <c r="D212" s="69"/>
      <c r="E212" s="70"/>
      <c r="F212" s="71">
        <v>659941.16</v>
      </c>
      <c r="G212" s="71">
        <v>659941.16</v>
      </c>
      <c r="H212" s="70">
        <f t="shared" si="8"/>
        <v>1</v>
      </c>
      <c r="I212" s="70"/>
      <c r="J212" s="73"/>
      <c r="K212" s="41"/>
    </row>
    <row r="213" spans="1:11" s="5" customFormat="1" ht="53.25" customHeight="1">
      <c r="A213" s="1" t="s">
        <v>21</v>
      </c>
      <c r="B213" s="69"/>
      <c r="C213" s="69"/>
      <c r="D213" s="69"/>
      <c r="E213" s="70"/>
      <c r="F213" s="71">
        <v>2125959</v>
      </c>
      <c r="G213" s="71">
        <v>2125959</v>
      </c>
      <c r="H213" s="70">
        <f t="shared" si="8"/>
        <v>1</v>
      </c>
      <c r="I213" s="70"/>
      <c r="J213" s="73"/>
      <c r="K213" s="41"/>
    </row>
    <row r="214" spans="1:11" s="5" customFormat="1" ht="51">
      <c r="A214" s="1" t="s">
        <v>539</v>
      </c>
      <c r="B214" s="69"/>
      <c r="C214" s="69"/>
      <c r="D214" s="69"/>
      <c r="E214" s="70"/>
      <c r="F214" s="71">
        <v>160801998.84</v>
      </c>
      <c r="G214" s="71">
        <v>160801998.84</v>
      </c>
      <c r="H214" s="70">
        <f t="shared" si="8"/>
        <v>1</v>
      </c>
      <c r="I214" s="70"/>
      <c r="J214" s="73"/>
      <c r="K214" s="41"/>
    </row>
    <row r="215" spans="1:11" s="5" customFormat="1" ht="38.25">
      <c r="A215" s="1" t="s">
        <v>483</v>
      </c>
      <c r="B215" s="69"/>
      <c r="C215" s="69"/>
      <c r="D215" s="69"/>
      <c r="E215" s="70"/>
      <c r="F215" s="71">
        <v>57396680</v>
      </c>
      <c r="G215" s="71">
        <v>57396680</v>
      </c>
      <c r="H215" s="70">
        <f t="shared" si="8"/>
        <v>1</v>
      </c>
      <c r="I215" s="70"/>
      <c r="J215" s="73"/>
      <c r="K215" s="41"/>
    </row>
    <row r="216" spans="1:11" s="5" customFormat="1" ht="38.25">
      <c r="A216" s="1" t="s">
        <v>484</v>
      </c>
      <c r="B216" s="69"/>
      <c r="C216" s="69"/>
      <c r="D216" s="69"/>
      <c r="E216" s="70"/>
      <c r="F216" s="71">
        <v>5204</v>
      </c>
      <c r="G216" s="71">
        <v>5204</v>
      </c>
      <c r="H216" s="70">
        <f t="shared" si="8"/>
        <v>1</v>
      </c>
      <c r="I216" s="70"/>
      <c r="J216" s="73"/>
      <c r="K216" s="41"/>
    </row>
    <row r="217" spans="1:11" s="5" customFormat="1" ht="38.25">
      <c r="A217" s="72" t="s">
        <v>485</v>
      </c>
      <c r="B217" s="69"/>
      <c r="C217" s="69"/>
      <c r="D217" s="69"/>
      <c r="E217" s="70"/>
      <c r="F217" s="71">
        <v>247993.76</v>
      </c>
      <c r="G217" s="71">
        <v>247993.76</v>
      </c>
      <c r="H217" s="70">
        <f t="shared" si="8"/>
        <v>1</v>
      </c>
      <c r="I217" s="70"/>
      <c r="J217" s="3"/>
      <c r="K217" s="41"/>
    </row>
    <row r="218" spans="1:11" s="5" customFormat="1" ht="51">
      <c r="A218" s="68" t="s">
        <v>486</v>
      </c>
      <c r="B218" s="69"/>
      <c r="C218" s="69"/>
      <c r="D218" s="69"/>
      <c r="E218" s="70"/>
      <c r="F218" s="71">
        <v>629655.7</v>
      </c>
      <c r="G218" s="71">
        <v>629655.7</v>
      </c>
      <c r="H218" s="70">
        <f t="shared" si="8"/>
        <v>1</v>
      </c>
      <c r="I218" s="70"/>
      <c r="J218" s="74"/>
      <c r="K218" s="41"/>
    </row>
    <row r="219" spans="1:11" s="5" customFormat="1" ht="12.75">
      <c r="A219" s="68" t="s">
        <v>570</v>
      </c>
      <c r="B219" s="69"/>
      <c r="C219" s="69"/>
      <c r="D219" s="69"/>
      <c r="E219" s="70"/>
      <c r="F219" s="71">
        <v>505550</v>
      </c>
      <c r="G219" s="71">
        <v>505550</v>
      </c>
      <c r="H219" s="70">
        <f t="shared" si="8"/>
        <v>1</v>
      </c>
      <c r="I219" s="70"/>
      <c r="J219" s="74"/>
      <c r="K219" s="41"/>
    </row>
    <row r="220" spans="1:11" s="5" customFormat="1" ht="51">
      <c r="A220" s="68" t="s">
        <v>487</v>
      </c>
      <c r="B220" s="69"/>
      <c r="C220" s="69"/>
      <c r="D220" s="69"/>
      <c r="E220" s="70"/>
      <c r="F220" s="71">
        <v>1898959.31</v>
      </c>
      <c r="G220" s="71">
        <v>1898939.2</v>
      </c>
      <c r="H220" s="70">
        <f t="shared" si="8"/>
        <v>0.9999894099889902</v>
      </c>
      <c r="I220" s="70"/>
      <c r="J220" s="3"/>
      <c r="K220" s="41"/>
    </row>
    <row r="221" spans="1:11" s="5" customFormat="1" ht="127.5">
      <c r="A221" s="68" t="s">
        <v>488</v>
      </c>
      <c r="B221" s="69"/>
      <c r="C221" s="69"/>
      <c r="D221" s="69"/>
      <c r="E221" s="70"/>
      <c r="F221" s="71">
        <v>6300000</v>
      </c>
      <c r="G221" s="71">
        <v>1360000</v>
      </c>
      <c r="H221" s="70">
        <f t="shared" si="8"/>
        <v>0.21587301587301588</v>
      </c>
      <c r="I221" s="70"/>
      <c r="J221" s="75" t="s">
        <v>489</v>
      </c>
      <c r="K221" s="41"/>
    </row>
    <row r="222" spans="1:11" s="5" customFormat="1" ht="35.25" customHeight="1">
      <c r="A222" s="72" t="s">
        <v>490</v>
      </c>
      <c r="B222" s="69"/>
      <c r="C222" s="69"/>
      <c r="D222" s="69"/>
      <c r="E222" s="70"/>
      <c r="F222" s="71">
        <v>29557094.9</v>
      </c>
      <c r="G222" s="71">
        <v>29557094.9</v>
      </c>
      <c r="H222" s="70">
        <f t="shared" si="8"/>
        <v>1</v>
      </c>
      <c r="I222" s="70"/>
      <c r="J222" s="3"/>
      <c r="K222" s="41"/>
    </row>
    <row r="223" spans="1:11" s="5" customFormat="1" ht="38.25">
      <c r="A223" s="72" t="s">
        <v>491</v>
      </c>
      <c r="B223" s="69"/>
      <c r="C223" s="69"/>
      <c r="D223" s="69"/>
      <c r="E223" s="70"/>
      <c r="F223" s="71">
        <v>1000000</v>
      </c>
      <c r="G223" s="71">
        <v>1000000</v>
      </c>
      <c r="H223" s="70">
        <f t="shared" si="8"/>
        <v>1</v>
      </c>
      <c r="I223" s="70"/>
      <c r="J223" s="3"/>
      <c r="K223" s="41"/>
    </row>
    <row r="224" spans="1:11" s="5" customFormat="1" ht="12.75">
      <c r="A224" s="734" t="s">
        <v>569</v>
      </c>
      <c r="B224" s="69"/>
      <c r="C224" s="69"/>
      <c r="D224" s="69"/>
      <c r="E224" s="70"/>
      <c r="F224" s="71">
        <v>430799.41</v>
      </c>
      <c r="G224" s="71">
        <v>430799.41</v>
      </c>
      <c r="H224" s="70">
        <f t="shared" si="8"/>
        <v>1</v>
      </c>
      <c r="I224" s="70"/>
      <c r="J224" s="75"/>
      <c r="K224" s="41"/>
    </row>
    <row r="225" spans="1:11" s="5" customFormat="1" ht="25.5">
      <c r="A225" s="1" t="s">
        <v>492</v>
      </c>
      <c r="B225" s="69"/>
      <c r="C225" s="69"/>
      <c r="D225" s="69"/>
      <c r="E225" s="70"/>
      <c r="F225" s="71">
        <v>1079483.88</v>
      </c>
      <c r="G225" s="71">
        <v>1079483.88</v>
      </c>
      <c r="H225" s="70">
        <f t="shared" si="8"/>
        <v>1</v>
      </c>
      <c r="I225" s="70"/>
      <c r="J225" s="3"/>
      <c r="K225" s="41"/>
    </row>
    <row r="226" spans="1:11" s="5" customFormat="1" ht="40.5" customHeight="1">
      <c r="A226" s="1" t="s">
        <v>22</v>
      </c>
      <c r="B226" s="69"/>
      <c r="C226" s="69"/>
      <c r="D226" s="69"/>
      <c r="E226" s="70"/>
      <c r="F226" s="71">
        <v>100000</v>
      </c>
      <c r="G226" s="71">
        <v>100000</v>
      </c>
      <c r="H226" s="70">
        <f t="shared" si="8"/>
        <v>1</v>
      </c>
      <c r="I226" s="70"/>
      <c r="J226" s="3"/>
      <c r="K226" s="41"/>
    </row>
    <row r="227" spans="1:11" s="5" customFormat="1" ht="40.5" customHeight="1">
      <c r="A227" s="1" t="s">
        <v>662</v>
      </c>
      <c r="B227" s="69"/>
      <c r="C227" s="69"/>
      <c r="D227" s="69"/>
      <c r="E227" s="70"/>
      <c r="F227" s="71">
        <v>376900</v>
      </c>
      <c r="G227" s="71">
        <v>376900</v>
      </c>
      <c r="H227" s="70">
        <f t="shared" si="8"/>
        <v>1</v>
      </c>
      <c r="I227" s="70"/>
      <c r="J227" s="76"/>
      <c r="K227" s="41"/>
    </row>
    <row r="228" spans="1:11" s="5" customFormat="1" ht="82.5" customHeight="1">
      <c r="A228" s="1" t="s">
        <v>526</v>
      </c>
      <c r="B228" s="69"/>
      <c r="C228" s="69"/>
      <c r="D228" s="69"/>
      <c r="E228" s="70"/>
      <c r="F228" s="71">
        <v>93552.35</v>
      </c>
      <c r="G228" s="71">
        <v>93552.35</v>
      </c>
      <c r="H228" s="70">
        <f t="shared" si="8"/>
        <v>1</v>
      </c>
      <c r="I228" s="70"/>
      <c r="J228" s="3"/>
      <c r="K228" s="41"/>
    </row>
    <row r="229" spans="1:11" s="5" customFormat="1" ht="38.25">
      <c r="A229" s="1" t="s">
        <v>527</v>
      </c>
      <c r="B229" s="69"/>
      <c r="C229" s="69"/>
      <c r="D229" s="69"/>
      <c r="E229" s="70"/>
      <c r="F229" s="71">
        <v>650194.96</v>
      </c>
      <c r="G229" s="71">
        <v>650194.96</v>
      </c>
      <c r="H229" s="70">
        <f t="shared" si="8"/>
        <v>1</v>
      </c>
      <c r="I229" s="70"/>
      <c r="J229" s="3"/>
      <c r="K229" s="41"/>
    </row>
    <row r="230" spans="1:11" s="5" customFormat="1" ht="58.5" customHeight="1">
      <c r="A230" s="24" t="s">
        <v>528</v>
      </c>
      <c r="B230" s="361"/>
      <c r="C230" s="361"/>
      <c r="D230" s="361"/>
      <c r="E230" s="362"/>
      <c r="F230" s="363">
        <v>1941608.2</v>
      </c>
      <c r="G230" s="363">
        <v>1941608.2</v>
      </c>
      <c r="H230" s="362">
        <f t="shared" si="8"/>
        <v>1</v>
      </c>
      <c r="I230" s="362"/>
      <c r="J230" s="8"/>
      <c r="K230" s="41"/>
    </row>
    <row r="231" spans="1:10" s="41" customFormat="1" ht="74.25" customHeight="1">
      <c r="A231" s="1" t="s">
        <v>529</v>
      </c>
      <c r="B231" s="69"/>
      <c r="C231" s="69"/>
      <c r="D231" s="69"/>
      <c r="E231" s="70"/>
      <c r="F231" s="71">
        <v>3015310</v>
      </c>
      <c r="G231" s="71">
        <v>2975324.92</v>
      </c>
      <c r="H231" s="70">
        <f t="shared" si="8"/>
        <v>0.9867393137024054</v>
      </c>
      <c r="I231" s="70"/>
      <c r="J231" s="787" t="s">
        <v>735</v>
      </c>
    </row>
    <row r="232" spans="1:11" s="5" customFormat="1" ht="64.5" customHeight="1">
      <c r="A232" s="1" t="s">
        <v>530</v>
      </c>
      <c r="B232" s="69"/>
      <c r="C232" s="69"/>
      <c r="D232" s="69"/>
      <c r="E232" s="70"/>
      <c r="F232" s="71">
        <v>31094750</v>
      </c>
      <c r="G232" s="71">
        <v>10989485.89</v>
      </c>
      <c r="H232" s="70">
        <f t="shared" si="8"/>
        <v>0.3534193357399561</v>
      </c>
      <c r="I232" s="70"/>
      <c r="J232" s="788"/>
      <c r="K232" s="41"/>
    </row>
    <row r="233" spans="1:11" s="5" customFormat="1" ht="63.75">
      <c r="A233" s="1" t="s">
        <v>531</v>
      </c>
      <c r="B233" s="69"/>
      <c r="C233" s="69"/>
      <c r="D233" s="69"/>
      <c r="E233" s="70"/>
      <c r="F233" s="71">
        <v>10000</v>
      </c>
      <c r="G233" s="71">
        <v>10000</v>
      </c>
      <c r="H233" s="70">
        <f t="shared" si="8"/>
        <v>1</v>
      </c>
      <c r="I233" s="70"/>
      <c r="J233" s="3"/>
      <c r="K233" s="41"/>
    </row>
    <row r="234" spans="1:11" s="5" customFormat="1" ht="63.75">
      <c r="A234" s="1" t="s">
        <v>105</v>
      </c>
      <c r="B234" s="69"/>
      <c r="C234" s="69"/>
      <c r="D234" s="69"/>
      <c r="E234" s="70"/>
      <c r="F234" s="71">
        <v>40000</v>
      </c>
      <c r="G234" s="71">
        <v>40000</v>
      </c>
      <c r="H234" s="70">
        <f t="shared" si="8"/>
        <v>1</v>
      </c>
      <c r="I234" s="70"/>
      <c r="J234" s="3"/>
      <c r="K234" s="41"/>
    </row>
    <row r="235" spans="1:11" s="5" customFormat="1" ht="38.25">
      <c r="A235" s="72" t="s">
        <v>532</v>
      </c>
      <c r="B235" s="69"/>
      <c r="C235" s="69"/>
      <c r="D235" s="69"/>
      <c r="E235" s="70"/>
      <c r="F235" s="71">
        <v>1243500</v>
      </c>
      <c r="G235" s="71">
        <v>1243500</v>
      </c>
      <c r="H235" s="70">
        <f t="shared" si="8"/>
        <v>1</v>
      </c>
      <c r="I235" s="70"/>
      <c r="J235" s="3"/>
      <c r="K235" s="41"/>
    </row>
    <row r="236" spans="1:11" s="5" customFormat="1" ht="25.5">
      <c r="A236" s="72" t="s">
        <v>533</v>
      </c>
      <c r="B236" s="69"/>
      <c r="C236" s="69"/>
      <c r="D236" s="69"/>
      <c r="E236" s="70"/>
      <c r="F236" s="71">
        <v>2483228</v>
      </c>
      <c r="G236" s="71">
        <v>2483228</v>
      </c>
      <c r="H236" s="70">
        <f t="shared" si="8"/>
        <v>1</v>
      </c>
      <c r="I236" s="70"/>
      <c r="J236" s="93"/>
      <c r="K236" s="41"/>
    </row>
    <row r="237" spans="1:11" s="5" customFormat="1" ht="38.25">
      <c r="A237" s="72" t="s">
        <v>534</v>
      </c>
      <c r="B237" s="69"/>
      <c r="C237" s="69"/>
      <c r="D237" s="69"/>
      <c r="E237" s="70"/>
      <c r="F237" s="71">
        <v>3286400</v>
      </c>
      <c r="G237" s="71">
        <v>3286400</v>
      </c>
      <c r="H237" s="70">
        <f t="shared" si="8"/>
        <v>1</v>
      </c>
      <c r="I237" s="70"/>
      <c r="J237" s="93"/>
      <c r="K237" s="41"/>
    </row>
    <row r="238" spans="1:11" s="5" customFormat="1" ht="55.5" customHeight="1">
      <c r="A238" s="72" t="s">
        <v>650</v>
      </c>
      <c r="B238" s="69"/>
      <c r="C238" s="69"/>
      <c r="D238" s="69"/>
      <c r="E238" s="70"/>
      <c r="F238" s="71">
        <v>31100</v>
      </c>
      <c r="G238" s="71">
        <v>31100</v>
      </c>
      <c r="H238" s="70">
        <f t="shared" si="8"/>
        <v>1</v>
      </c>
      <c r="I238" s="70"/>
      <c r="J238" s="3"/>
      <c r="K238" s="41"/>
    </row>
    <row r="239" spans="1:11" s="5" customFormat="1" ht="51">
      <c r="A239" s="367" t="s">
        <v>535</v>
      </c>
      <c r="B239" s="361"/>
      <c r="C239" s="361"/>
      <c r="D239" s="361"/>
      <c r="E239" s="362"/>
      <c r="F239" s="363">
        <v>150000</v>
      </c>
      <c r="G239" s="363">
        <v>150000</v>
      </c>
      <c r="H239" s="362">
        <f t="shared" si="8"/>
        <v>1</v>
      </c>
      <c r="I239" s="362"/>
      <c r="J239" s="21"/>
      <c r="K239" s="41"/>
    </row>
    <row r="240" spans="1:34" s="52" customFormat="1" ht="25.5">
      <c r="A240" s="72" t="s">
        <v>343</v>
      </c>
      <c r="B240" s="69"/>
      <c r="C240" s="69"/>
      <c r="D240" s="69"/>
      <c r="E240" s="70"/>
      <c r="F240" s="71">
        <v>27876369.96</v>
      </c>
      <c r="G240" s="71">
        <v>27876369.96</v>
      </c>
      <c r="H240" s="70">
        <f t="shared" si="8"/>
        <v>1</v>
      </c>
      <c r="I240" s="70"/>
      <c r="J240" s="3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</row>
    <row r="241" spans="1:11" s="5" customFormat="1" ht="51">
      <c r="A241" s="72" t="s">
        <v>34</v>
      </c>
      <c r="B241" s="69"/>
      <c r="C241" s="69"/>
      <c r="D241" s="69"/>
      <c r="E241" s="70"/>
      <c r="F241" s="71">
        <v>34353613</v>
      </c>
      <c r="G241" s="71">
        <v>33967049.37</v>
      </c>
      <c r="H241" s="70">
        <f t="shared" si="8"/>
        <v>0.9887475116518312</v>
      </c>
      <c r="I241" s="70"/>
      <c r="J241" s="75" t="s">
        <v>536</v>
      </c>
      <c r="K241" s="41"/>
    </row>
    <row r="242" spans="1:11" s="5" customFormat="1" ht="57.75" customHeight="1">
      <c r="A242" s="72" t="s">
        <v>537</v>
      </c>
      <c r="B242" s="69"/>
      <c r="C242" s="69"/>
      <c r="D242" s="69"/>
      <c r="E242" s="70"/>
      <c r="F242" s="71">
        <v>197648.39</v>
      </c>
      <c r="G242" s="71">
        <v>197648.39</v>
      </c>
      <c r="H242" s="70">
        <f t="shared" si="8"/>
        <v>1</v>
      </c>
      <c r="I242" s="70"/>
      <c r="J242" s="3"/>
      <c r="K242" s="41"/>
    </row>
    <row r="243" spans="1:11" s="5" customFormat="1" ht="12.75">
      <c r="A243" s="72" t="s">
        <v>654</v>
      </c>
      <c r="B243" s="69"/>
      <c r="C243" s="69"/>
      <c r="D243" s="69"/>
      <c r="E243" s="70"/>
      <c r="F243" s="71">
        <v>12394619.46</v>
      </c>
      <c r="G243" s="71">
        <v>12394619.46</v>
      </c>
      <c r="H243" s="70">
        <f t="shared" si="8"/>
        <v>1</v>
      </c>
      <c r="I243" s="70"/>
      <c r="J243" s="3"/>
      <c r="K243" s="41"/>
    </row>
    <row r="244" spans="1:11" s="5" customFormat="1" ht="51">
      <c r="A244" s="367" t="s">
        <v>306</v>
      </c>
      <c r="B244" s="361"/>
      <c r="C244" s="361"/>
      <c r="D244" s="361"/>
      <c r="E244" s="362"/>
      <c r="F244" s="363">
        <v>357475</v>
      </c>
      <c r="G244" s="363">
        <v>357475</v>
      </c>
      <c r="H244" s="362">
        <f t="shared" si="8"/>
        <v>1</v>
      </c>
      <c r="I244" s="362"/>
      <c r="J244" s="8"/>
      <c r="K244" s="41"/>
    </row>
    <row r="245" spans="1:27" s="52" customFormat="1" ht="38.25">
      <c r="A245" s="72" t="s">
        <v>307</v>
      </c>
      <c r="B245" s="69"/>
      <c r="C245" s="69"/>
      <c r="D245" s="69"/>
      <c r="E245" s="70"/>
      <c r="F245" s="71">
        <v>225507.67</v>
      </c>
      <c r="G245" s="71">
        <v>225507.67</v>
      </c>
      <c r="H245" s="70">
        <f t="shared" si="8"/>
        <v>1</v>
      </c>
      <c r="I245" s="70"/>
      <c r="J245" s="3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11" s="5" customFormat="1" ht="12.75">
      <c r="A246" s="72" t="s">
        <v>541</v>
      </c>
      <c r="B246" s="69"/>
      <c r="C246" s="69"/>
      <c r="D246" s="69"/>
      <c r="E246" s="70"/>
      <c r="F246" s="71">
        <v>22044179</v>
      </c>
      <c r="G246" s="71">
        <v>22044179</v>
      </c>
      <c r="H246" s="70">
        <f t="shared" si="8"/>
        <v>1</v>
      </c>
      <c r="I246" s="70"/>
      <c r="J246" s="3"/>
      <c r="K246" s="41"/>
    </row>
    <row r="247" spans="1:11" s="5" customFormat="1" ht="25.5">
      <c r="A247" s="72" t="s">
        <v>0</v>
      </c>
      <c r="B247" s="69"/>
      <c r="C247" s="69"/>
      <c r="D247" s="69"/>
      <c r="E247" s="70"/>
      <c r="F247" s="71">
        <v>1977934</v>
      </c>
      <c r="G247" s="71">
        <v>1977934</v>
      </c>
      <c r="H247" s="70">
        <f t="shared" si="8"/>
        <v>1</v>
      </c>
      <c r="I247" s="70"/>
      <c r="J247" s="75"/>
      <c r="K247" s="41"/>
    </row>
    <row r="248" spans="1:11" s="5" customFormat="1" ht="38.25">
      <c r="A248" s="72" t="s">
        <v>195</v>
      </c>
      <c r="B248" s="69"/>
      <c r="C248" s="69"/>
      <c r="D248" s="69"/>
      <c r="E248" s="70"/>
      <c r="F248" s="71">
        <v>804793.45</v>
      </c>
      <c r="G248" s="71">
        <v>804793.45</v>
      </c>
      <c r="H248" s="70">
        <f t="shared" si="8"/>
        <v>1</v>
      </c>
      <c r="I248" s="70"/>
      <c r="J248" s="91"/>
      <c r="K248" s="41"/>
    </row>
    <row r="249" spans="1:11" s="5" customFormat="1" ht="12.75">
      <c r="A249" s="72" t="s">
        <v>196</v>
      </c>
      <c r="B249" s="69"/>
      <c r="C249" s="69"/>
      <c r="D249" s="69"/>
      <c r="E249" s="70"/>
      <c r="F249" s="71">
        <v>227337</v>
      </c>
      <c r="G249" s="71">
        <v>227337</v>
      </c>
      <c r="H249" s="70">
        <f t="shared" si="8"/>
        <v>1</v>
      </c>
      <c r="I249" s="70"/>
      <c r="J249" s="94"/>
      <c r="K249" s="41"/>
    </row>
    <row r="250" spans="1:11" s="5" customFormat="1" ht="63.75">
      <c r="A250" s="72" t="s">
        <v>165</v>
      </c>
      <c r="B250" s="69"/>
      <c r="C250" s="69"/>
      <c r="D250" s="69"/>
      <c r="E250" s="70"/>
      <c r="F250" s="71">
        <v>2971469</v>
      </c>
      <c r="G250" s="71">
        <v>2823394.58</v>
      </c>
      <c r="H250" s="70">
        <f t="shared" si="8"/>
        <v>0.9501679405035018</v>
      </c>
      <c r="I250" s="70"/>
      <c r="J250" s="94" t="s">
        <v>1</v>
      </c>
      <c r="K250" s="41"/>
    </row>
    <row r="251" spans="1:11" s="5" customFormat="1" ht="25.5">
      <c r="A251" s="79" t="s">
        <v>766</v>
      </c>
      <c r="B251" s="80">
        <v>100</v>
      </c>
      <c r="C251" s="80">
        <v>100</v>
      </c>
      <c r="D251" s="90">
        <f>C251-B251</f>
        <v>0</v>
      </c>
      <c r="E251" s="81">
        <f>C251/B251</f>
        <v>1</v>
      </c>
      <c r="F251" s="71"/>
      <c r="G251" s="71"/>
      <c r="H251" s="70"/>
      <c r="I251" s="70"/>
      <c r="J251" s="91"/>
      <c r="K251" s="41"/>
    </row>
    <row r="252" spans="1:11" s="5" customFormat="1" ht="27" customHeight="1">
      <c r="A252" s="79" t="s">
        <v>653</v>
      </c>
      <c r="B252" s="80">
        <v>2762</v>
      </c>
      <c r="C252" s="80">
        <v>2762</v>
      </c>
      <c r="D252" s="90">
        <f aca="true" t="shared" si="9" ref="D252:D276">C252-B252</f>
        <v>0</v>
      </c>
      <c r="E252" s="81">
        <f aca="true" t="shared" si="10" ref="E252:E257">C252/B252</f>
        <v>1</v>
      </c>
      <c r="F252" s="71"/>
      <c r="G252" s="71"/>
      <c r="H252" s="70"/>
      <c r="I252" s="70"/>
      <c r="J252" s="91"/>
      <c r="K252" s="41"/>
    </row>
    <row r="253" spans="1:11" s="5" customFormat="1" ht="27.75" customHeight="1">
      <c r="A253" s="79" t="s">
        <v>35</v>
      </c>
      <c r="B253" s="80">
        <v>329</v>
      </c>
      <c r="C253" s="80">
        <v>332</v>
      </c>
      <c r="D253" s="90">
        <f t="shared" si="9"/>
        <v>3</v>
      </c>
      <c r="E253" s="81">
        <f t="shared" si="10"/>
        <v>1.0091185410334347</v>
      </c>
      <c r="F253" s="71"/>
      <c r="G253" s="71"/>
      <c r="H253" s="70"/>
      <c r="I253" s="70"/>
      <c r="J253" s="91" t="s">
        <v>197</v>
      </c>
      <c r="K253" s="41"/>
    </row>
    <row r="254" spans="1:11" s="5" customFormat="1" ht="25.5">
      <c r="A254" s="79" t="s">
        <v>193</v>
      </c>
      <c r="B254" s="80">
        <v>5878</v>
      </c>
      <c r="C254" s="80">
        <v>5878</v>
      </c>
      <c r="D254" s="90">
        <f t="shared" si="9"/>
        <v>0</v>
      </c>
      <c r="E254" s="81">
        <f t="shared" si="10"/>
        <v>1</v>
      </c>
      <c r="F254" s="71"/>
      <c r="G254" s="71"/>
      <c r="H254" s="70"/>
      <c r="I254" s="70"/>
      <c r="J254" s="75"/>
      <c r="K254" s="41"/>
    </row>
    <row r="255" spans="1:11" s="5" customFormat="1" ht="51">
      <c r="A255" s="79" t="s">
        <v>2</v>
      </c>
      <c r="B255" s="80">
        <v>90</v>
      </c>
      <c r="C255" s="80">
        <v>90</v>
      </c>
      <c r="D255" s="90">
        <f t="shared" si="9"/>
        <v>0</v>
      </c>
      <c r="E255" s="81">
        <v>1</v>
      </c>
      <c r="F255" s="71"/>
      <c r="G255" s="71"/>
      <c r="H255" s="70"/>
      <c r="I255" s="70"/>
      <c r="J255" s="3"/>
      <c r="K255" s="41"/>
    </row>
    <row r="256" spans="1:11" s="5" customFormat="1" ht="25.5">
      <c r="A256" s="79" t="s">
        <v>571</v>
      </c>
      <c r="B256" s="80">
        <v>1440</v>
      </c>
      <c r="C256" s="80">
        <v>1440</v>
      </c>
      <c r="D256" s="90">
        <f t="shared" si="9"/>
        <v>0</v>
      </c>
      <c r="E256" s="81">
        <f t="shared" si="10"/>
        <v>1</v>
      </c>
      <c r="F256" s="71"/>
      <c r="G256" s="71"/>
      <c r="H256" s="70"/>
      <c r="I256" s="70"/>
      <c r="J256" s="3"/>
      <c r="K256" s="41"/>
    </row>
    <row r="257" spans="1:11" s="5" customFormat="1" ht="38.25">
      <c r="A257" s="79" t="s">
        <v>3</v>
      </c>
      <c r="B257" s="80">
        <v>7</v>
      </c>
      <c r="C257" s="82">
        <v>7</v>
      </c>
      <c r="D257" s="90">
        <f t="shared" si="9"/>
        <v>0</v>
      </c>
      <c r="E257" s="81">
        <f t="shared" si="10"/>
        <v>1</v>
      </c>
      <c r="F257" s="71"/>
      <c r="G257" s="71"/>
      <c r="H257" s="70"/>
      <c r="I257" s="70"/>
      <c r="J257" s="3"/>
      <c r="K257" s="41"/>
    </row>
    <row r="258" spans="1:11" s="5" customFormat="1" ht="25.5">
      <c r="A258" s="79" t="s">
        <v>250</v>
      </c>
      <c r="B258" s="80">
        <v>3</v>
      </c>
      <c r="C258" s="80">
        <v>11</v>
      </c>
      <c r="D258" s="90">
        <f t="shared" si="9"/>
        <v>8</v>
      </c>
      <c r="E258" s="81">
        <f aca="true" t="shared" si="11" ref="E258:E276">C258/B258</f>
        <v>3.6666666666666665</v>
      </c>
      <c r="F258" s="71"/>
      <c r="G258" s="71"/>
      <c r="H258" s="70"/>
      <c r="I258" s="70"/>
      <c r="J258" s="75" t="s">
        <v>4</v>
      </c>
      <c r="K258" s="41"/>
    </row>
    <row r="259" spans="1:11" s="5" customFormat="1" ht="25.5">
      <c r="A259" s="79" t="s">
        <v>104</v>
      </c>
      <c r="B259" s="80">
        <v>142</v>
      </c>
      <c r="C259" s="3">
        <v>186</v>
      </c>
      <c r="D259" s="90">
        <f t="shared" si="9"/>
        <v>44</v>
      </c>
      <c r="E259" s="81">
        <f t="shared" si="11"/>
        <v>1.3098591549295775</v>
      </c>
      <c r="F259" s="71"/>
      <c r="G259" s="71"/>
      <c r="H259" s="70"/>
      <c r="I259" s="70"/>
      <c r="J259" s="75" t="s">
        <v>101</v>
      </c>
      <c r="K259" s="41"/>
    </row>
    <row r="260" spans="1:11" s="5" customFormat="1" ht="12.75">
      <c r="A260" s="79" t="s">
        <v>659</v>
      </c>
      <c r="B260" s="80">
        <v>3</v>
      </c>
      <c r="C260" s="3">
        <v>3</v>
      </c>
      <c r="D260" s="90">
        <f t="shared" si="9"/>
        <v>0</v>
      </c>
      <c r="E260" s="81">
        <f t="shared" si="11"/>
        <v>1</v>
      </c>
      <c r="F260" s="71"/>
      <c r="G260" s="71"/>
      <c r="H260" s="70"/>
      <c r="I260" s="70"/>
      <c r="J260" s="91"/>
      <c r="K260" s="41"/>
    </row>
    <row r="261" spans="1:11" s="5" customFormat="1" ht="63.75">
      <c r="A261" s="232" t="s">
        <v>5</v>
      </c>
      <c r="B261" s="80">
        <v>27</v>
      </c>
      <c r="C261" s="83">
        <v>29.7</v>
      </c>
      <c r="D261" s="735">
        <f t="shared" si="9"/>
        <v>2.6999999999999993</v>
      </c>
      <c r="E261" s="81">
        <f t="shared" si="11"/>
        <v>1.0999999999999999</v>
      </c>
      <c r="F261" s="71"/>
      <c r="G261" s="71"/>
      <c r="H261" s="70"/>
      <c r="I261" s="70"/>
      <c r="J261" s="75" t="s">
        <v>6</v>
      </c>
      <c r="K261" s="571"/>
    </row>
    <row r="262" spans="1:11" s="5" customFormat="1" ht="24.75" customHeight="1">
      <c r="A262" s="84" t="s">
        <v>7</v>
      </c>
      <c r="B262" s="3">
        <v>100</v>
      </c>
      <c r="C262" s="3">
        <v>100</v>
      </c>
      <c r="D262" s="90">
        <f t="shared" si="9"/>
        <v>0</v>
      </c>
      <c r="E262" s="81">
        <f t="shared" si="11"/>
        <v>1</v>
      </c>
      <c r="F262" s="71"/>
      <c r="G262" s="71"/>
      <c r="H262" s="70"/>
      <c r="I262" s="70"/>
      <c r="J262" s="91"/>
      <c r="K262" s="41"/>
    </row>
    <row r="263" spans="1:11" s="5" customFormat="1" ht="25.5">
      <c r="A263" s="84" t="s">
        <v>8</v>
      </c>
      <c r="B263" s="3">
        <v>2</v>
      </c>
      <c r="C263" s="3">
        <v>2</v>
      </c>
      <c r="D263" s="90">
        <f t="shared" si="9"/>
        <v>0</v>
      </c>
      <c r="E263" s="81">
        <f t="shared" si="11"/>
        <v>1</v>
      </c>
      <c r="F263" s="71"/>
      <c r="G263" s="71"/>
      <c r="H263" s="70"/>
      <c r="I263" s="70"/>
      <c r="J263" s="91"/>
      <c r="K263" s="41"/>
    </row>
    <row r="264" spans="1:11" s="5" customFormat="1" ht="23.25" customHeight="1">
      <c r="A264" s="79" t="s">
        <v>9</v>
      </c>
      <c r="B264" s="80">
        <v>81</v>
      </c>
      <c r="C264" s="3">
        <v>83</v>
      </c>
      <c r="D264" s="90">
        <f t="shared" si="9"/>
        <v>2</v>
      </c>
      <c r="E264" s="81">
        <f t="shared" si="11"/>
        <v>1.0246913580246915</v>
      </c>
      <c r="F264" s="71"/>
      <c r="G264" s="71"/>
      <c r="H264" s="70"/>
      <c r="I264" s="70"/>
      <c r="J264" s="91" t="s">
        <v>102</v>
      </c>
      <c r="K264" s="41"/>
    </row>
    <row r="265" spans="1:11" s="5" customFormat="1" ht="25.5">
      <c r="A265" s="79" t="s">
        <v>115</v>
      </c>
      <c r="B265" s="80">
        <v>90</v>
      </c>
      <c r="C265" s="3">
        <v>89.2</v>
      </c>
      <c r="D265" s="90">
        <f t="shared" si="9"/>
        <v>-0.7999999999999972</v>
      </c>
      <c r="E265" s="81">
        <f t="shared" si="11"/>
        <v>0.9911111111111112</v>
      </c>
      <c r="F265" s="71"/>
      <c r="G265" s="71"/>
      <c r="H265" s="70"/>
      <c r="I265" s="70"/>
      <c r="J265" s="91" t="s">
        <v>10</v>
      </c>
      <c r="K265" s="41"/>
    </row>
    <row r="266" spans="1:11" s="5" customFormat="1" ht="25.5">
      <c r="A266" s="232" t="s">
        <v>11</v>
      </c>
      <c r="B266" s="80">
        <v>33</v>
      </c>
      <c r="C266" s="3">
        <v>33</v>
      </c>
      <c r="D266" s="90">
        <f t="shared" si="9"/>
        <v>0</v>
      </c>
      <c r="E266" s="81">
        <f t="shared" si="11"/>
        <v>1</v>
      </c>
      <c r="F266" s="71"/>
      <c r="G266" s="71"/>
      <c r="H266" s="70"/>
      <c r="I266" s="70"/>
      <c r="J266" s="91"/>
      <c r="K266" s="41"/>
    </row>
    <row r="267" spans="1:11" s="5" customFormat="1" ht="25.5">
      <c r="A267" s="79" t="s">
        <v>767</v>
      </c>
      <c r="B267" s="80">
        <v>2018</v>
      </c>
      <c r="C267" s="80">
        <v>2018</v>
      </c>
      <c r="D267" s="90">
        <f t="shared" si="9"/>
        <v>0</v>
      </c>
      <c r="E267" s="81">
        <f t="shared" si="11"/>
        <v>1</v>
      </c>
      <c r="F267" s="79"/>
      <c r="G267" s="79"/>
      <c r="H267" s="79"/>
      <c r="I267" s="79"/>
      <c r="J267" s="91"/>
      <c r="K267" s="41"/>
    </row>
    <row r="268" spans="1:11" s="5" customFormat="1" ht="38.25">
      <c r="A268" s="79" t="s">
        <v>500</v>
      </c>
      <c r="B268" s="80">
        <v>1486</v>
      </c>
      <c r="C268" s="3">
        <v>1507</v>
      </c>
      <c r="D268" s="90">
        <f t="shared" si="9"/>
        <v>21</v>
      </c>
      <c r="E268" s="81">
        <f t="shared" si="11"/>
        <v>1.0141318977119784</v>
      </c>
      <c r="F268" s="71"/>
      <c r="G268" s="71"/>
      <c r="H268" s="70"/>
      <c r="I268" s="70"/>
      <c r="J268" s="91" t="s">
        <v>12</v>
      </c>
      <c r="K268" s="41"/>
    </row>
    <row r="269" spans="1:11" s="5" customFormat="1" ht="51">
      <c r="A269" s="79" t="s">
        <v>20</v>
      </c>
      <c r="B269" s="85">
        <v>50</v>
      </c>
      <c r="C269" s="86">
        <v>51</v>
      </c>
      <c r="D269" s="735">
        <f t="shared" si="9"/>
        <v>1</v>
      </c>
      <c r="E269" s="81">
        <f t="shared" si="11"/>
        <v>1.02</v>
      </c>
      <c r="F269" s="71"/>
      <c r="G269" s="71"/>
      <c r="H269" s="70"/>
      <c r="I269" s="70"/>
      <c r="J269" s="91" t="s">
        <v>12</v>
      </c>
      <c r="K269" s="41"/>
    </row>
    <row r="270" spans="1:11" s="5" customFormat="1" ht="102">
      <c r="A270" s="232" t="s">
        <v>13</v>
      </c>
      <c r="B270" s="80">
        <v>0.48</v>
      </c>
      <c r="C270" s="3">
        <v>0.7</v>
      </c>
      <c r="D270" s="90">
        <f t="shared" si="9"/>
        <v>0.21999999999999997</v>
      </c>
      <c r="E270" s="81">
        <f t="shared" si="11"/>
        <v>1.4583333333333333</v>
      </c>
      <c r="F270" s="71"/>
      <c r="G270" s="71"/>
      <c r="H270" s="70"/>
      <c r="I270" s="70"/>
      <c r="J270" s="94" t="s">
        <v>12</v>
      </c>
      <c r="K270" s="41"/>
    </row>
    <row r="271" spans="1:11" s="5" customFormat="1" ht="25.5">
      <c r="A271" s="232" t="s">
        <v>39</v>
      </c>
      <c r="B271" s="80">
        <v>100</v>
      </c>
      <c r="C271" s="3">
        <v>100</v>
      </c>
      <c r="D271" s="90">
        <f t="shared" si="9"/>
        <v>0</v>
      </c>
      <c r="E271" s="81">
        <f t="shared" si="11"/>
        <v>1</v>
      </c>
      <c r="F271" s="71"/>
      <c r="G271" s="71"/>
      <c r="H271" s="70"/>
      <c r="I271" s="70"/>
      <c r="J271" s="75"/>
      <c r="K271" s="41"/>
    </row>
    <row r="272" spans="1:11" s="5" customFormat="1" ht="76.5">
      <c r="A272" s="232" t="s">
        <v>14</v>
      </c>
      <c r="B272" s="80">
        <v>100</v>
      </c>
      <c r="C272" s="3">
        <v>100</v>
      </c>
      <c r="D272" s="90">
        <f t="shared" si="9"/>
        <v>0</v>
      </c>
      <c r="E272" s="81">
        <f t="shared" si="11"/>
        <v>1</v>
      </c>
      <c r="F272" s="71"/>
      <c r="G272" s="71"/>
      <c r="H272" s="70"/>
      <c r="I272" s="70"/>
      <c r="J272" s="75"/>
      <c r="K272" s="41"/>
    </row>
    <row r="273" spans="1:11" s="5" customFormat="1" ht="38.25">
      <c r="A273" s="79" t="s">
        <v>501</v>
      </c>
      <c r="B273" s="80">
        <v>191</v>
      </c>
      <c r="C273" s="3">
        <v>191</v>
      </c>
      <c r="D273" s="90">
        <f t="shared" si="9"/>
        <v>0</v>
      </c>
      <c r="E273" s="81">
        <f t="shared" si="11"/>
        <v>1</v>
      </c>
      <c r="F273" s="71"/>
      <c r="G273" s="71"/>
      <c r="H273" s="70"/>
      <c r="I273" s="70"/>
      <c r="J273" s="572"/>
      <c r="K273" s="41"/>
    </row>
    <row r="274" spans="1:11" s="5" customFormat="1" ht="25.5">
      <c r="A274" s="79" t="s">
        <v>103</v>
      </c>
      <c r="B274" s="87">
        <v>1100</v>
      </c>
      <c r="C274" s="83">
        <v>1100</v>
      </c>
      <c r="D274" s="90">
        <f t="shared" si="9"/>
        <v>0</v>
      </c>
      <c r="E274" s="81">
        <f t="shared" si="11"/>
        <v>1</v>
      </c>
      <c r="F274" s="71"/>
      <c r="G274" s="71"/>
      <c r="H274" s="70"/>
      <c r="I274" s="70"/>
      <c r="J274" s="75"/>
      <c r="K274" s="41"/>
    </row>
    <row r="275" spans="1:12" s="5" customFormat="1" ht="51">
      <c r="A275" s="232" t="s">
        <v>208</v>
      </c>
      <c r="B275" s="80">
        <v>100</v>
      </c>
      <c r="C275" s="3">
        <v>100</v>
      </c>
      <c r="D275" s="90">
        <f t="shared" si="9"/>
        <v>0</v>
      </c>
      <c r="E275" s="81">
        <f t="shared" si="11"/>
        <v>1</v>
      </c>
      <c r="F275" s="71"/>
      <c r="G275" s="71"/>
      <c r="H275" s="70"/>
      <c r="I275" s="70"/>
      <c r="J275" s="75"/>
      <c r="K275" s="41"/>
      <c r="L275" s="51"/>
    </row>
    <row r="276" spans="1:11" s="5" customFormat="1" ht="51">
      <c r="A276" s="79" t="s">
        <v>15</v>
      </c>
      <c r="B276" s="80">
        <v>51.6</v>
      </c>
      <c r="C276" s="3">
        <v>51.6</v>
      </c>
      <c r="D276" s="90">
        <f t="shared" si="9"/>
        <v>0</v>
      </c>
      <c r="E276" s="81">
        <f t="shared" si="11"/>
        <v>1</v>
      </c>
      <c r="F276" s="71"/>
      <c r="G276" s="71"/>
      <c r="H276" s="70"/>
      <c r="I276" s="70"/>
      <c r="J276" s="75"/>
      <c r="K276" s="41"/>
    </row>
    <row r="277" spans="1:11" s="5" customFormat="1" ht="12.75">
      <c r="A277" s="387" t="s">
        <v>301</v>
      </c>
      <c r="B277" s="388">
        <f>SUM(B251:B276)</f>
        <v>16284.08</v>
      </c>
      <c r="C277" s="388">
        <f>SUM(C251:C276)</f>
        <v>16365.200000000003</v>
      </c>
      <c r="D277" s="388">
        <f>C277-B277</f>
        <v>81.12000000000262</v>
      </c>
      <c r="E277" s="389">
        <f>(SUM(E251:E276))/26</f>
        <v>1.138227387031184</v>
      </c>
      <c r="F277" s="390">
        <f>SUM(F211:F250)</f>
        <v>668798840.34</v>
      </c>
      <c r="G277" s="390">
        <f>SUM(G211:G250)</f>
        <v>643178932.99</v>
      </c>
      <c r="H277" s="391">
        <f>(SUM(H211:H250))/40</f>
        <v>0.9623734131864925</v>
      </c>
      <c r="I277" s="392">
        <f>E277/H277</f>
        <v>1.182729459724397</v>
      </c>
      <c r="J277" s="393"/>
      <c r="K277" s="41"/>
    </row>
    <row r="278" spans="1:13" s="5" customFormat="1" ht="12.75">
      <c r="A278" s="813" t="s">
        <v>351</v>
      </c>
      <c r="B278" s="813"/>
      <c r="C278" s="813"/>
      <c r="D278" s="813"/>
      <c r="E278" s="813"/>
      <c r="F278" s="813"/>
      <c r="G278" s="813"/>
      <c r="H278" s="813"/>
      <c r="I278" s="813"/>
      <c r="J278" s="813"/>
      <c r="K278" s="92"/>
      <c r="L278" s="23"/>
      <c r="M278" s="23"/>
    </row>
    <row r="279" spans="1:11" s="5" customFormat="1" ht="12.75">
      <c r="A279" s="814" t="s">
        <v>71</v>
      </c>
      <c r="B279" s="814"/>
      <c r="C279" s="814"/>
      <c r="D279" s="814"/>
      <c r="E279" s="814"/>
      <c r="F279" s="814"/>
      <c r="G279" s="814"/>
      <c r="H279" s="814"/>
      <c r="I279" s="814"/>
      <c r="J279" s="814"/>
      <c r="K279" s="41"/>
    </row>
    <row r="280" spans="1:11" s="5" customFormat="1" ht="51">
      <c r="A280" s="517" t="s">
        <v>352</v>
      </c>
      <c r="B280" s="549"/>
      <c r="C280" s="549"/>
      <c r="D280" s="549"/>
      <c r="E280" s="549"/>
      <c r="F280" s="295">
        <v>5500237</v>
      </c>
      <c r="G280" s="295">
        <v>5496104.75</v>
      </c>
      <c r="H280" s="295">
        <f>G280/F280</f>
        <v>0.9992487141917703</v>
      </c>
      <c r="I280" s="550"/>
      <c r="J280" s="517"/>
      <c r="K280" s="41"/>
    </row>
    <row r="281" spans="1:11" s="5" customFormat="1" ht="63.75">
      <c r="A281" s="232" t="s">
        <v>178</v>
      </c>
      <c r="B281" s="230"/>
      <c r="C281" s="230"/>
      <c r="D281" s="82"/>
      <c r="E281" s="233"/>
      <c r="F281" s="231">
        <v>22806194</v>
      </c>
      <c r="G281" s="231">
        <v>22805931.88</v>
      </c>
      <c r="H281" s="231">
        <f>G281/F281</f>
        <v>0.9999885066311371</v>
      </c>
      <c r="I281" s="231"/>
      <c r="J281" s="229"/>
      <c r="K281" s="41"/>
    </row>
    <row r="282" spans="1:11" s="5" customFormat="1" ht="168">
      <c r="A282" s="232" t="s">
        <v>353</v>
      </c>
      <c r="B282" s="88"/>
      <c r="C282" s="88"/>
      <c r="D282" s="82"/>
      <c r="E282" s="233"/>
      <c r="F282" s="231">
        <v>1118333.33</v>
      </c>
      <c r="G282" s="231">
        <v>825000</v>
      </c>
      <c r="H282" s="231">
        <f>G282/F282</f>
        <v>0.7377049202316093</v>
      </c>
      <c r="I282" s="231"/>
      <c r="J282" s="755" t="s">
        <v>734</v>
      </c>
      <c r="K282" s="41"/>
    </row>
    <row r="283" spans="1:11" s="5" customFormat="1" ht="51">
      <c r="A283" s="357" t="s">
        <v>354</v>
      </c>
      <c r="B283" s="230">
        <v>100</v>
      </c>
      <c r="C283" s="230">
        <v>100</v>
      </c>
      <c r="D283" s="82">
        <f>C283-B283</f>
        <v>0</v>
      </c>
      <c r="E283" s="233">
        <f>C283/B283</f>
        <v>1</v>
      </c>
      <c r="F283" s="231"/>
      <c r="G283" s="231"/>
      <c r="H283" s="233"/>
      <c r="I283" s="231"/>
      <c r="J283" s="229"/>
      <c r="K283" s="41"/>
    </row>
    <row r="284" spans="1:11" s="5" customFormat="1" ht="63.75">
      <c r="A284" s="357" t="s">
        <v>355</v>
      </c>
      <c r="B284" s="230">
        <v>147</v>
      </c>
      <c r="C284" s="230">
        <v>147</v>
      </c>
      <c r="D284" s="82">
        <f>C284-B284</f>
        <v>0</v>
      </c>
      <c r="E284" s="233">
        <f>C284/B284</f>
        <v>1</v>
      </c>
      <c r="F284" s="231"/>
      <c r="G284" s="231"/>
      <c r="H284" s="233"/>
      <c r="I284" s="231"/>
      <c r="J284" s="229"/>
      <c r="K284" s="41"/>
    </row>
    <row r="285" spans="1:11" s="5" customFormat="1" ht="18.75">
      <c r="A285" s="357" t="s">
        <v>356</v>
      </c>
      <c r="B285" s="230">
        <v>99</v>
      </c>
      <c r="C285" s="230">
        <v>100</v>
      </c>
      <c r="D285" s="82">
        <f>C285-B285</f>
        <v>1</v>
      </c>
      <c r="E285" s="233">
        <f>C285/B285</f>
        <v>1.0101010101010102</v>
      </c>
      <c r="F285" s="231"/>
      <c r="G285" s="231"/>
      <c r="H285" s="233"/>
      <c r="I285" s="231"/>
      <c r="J285" s="229"/>
      <c r="K285" s="41"/>
    </row>
    <row r="286" spans="1:11" s="5" customFormat="1" ht="25.5">
      <c r="A286" s="26" t="s">
        <v>357</v>
      </c>
      <c r="B286" s="368"/>
      <c r="C286" s="368"/>
      <c r="D286" s="368"/>
      <c r="E286" s="369"/>
      <c r="F286" s="370"/>
      <c r="G286" s="370"/>
      <c r="H286" s="371"/>
      <c r="I286" s="371"/>
      <c r="J286" s="324"/>
      <c r="K286" s="41"/>
    </row>
    <row r="287" spans="1:11" s="5" customFormat="1" ht="15.75">
      <c r="A287" s="397" t="s">
        <v>296</v>
      </c>
      <c r="B287" s="460">
        <f>B286</f>
        <v>0</v>
      </c>
      <c r="C287" s="460">
        <f>C286</f>
        <v>0</v>
      </c>
      <c r="D287" s="394">
        <f>C287-B287</f>
        <v>0</v>
      </c>
      <c r="E287" s="395">
        <f>(E283+E284+E285)/3</f>
        <v>1.0033670033670035</v>
      </c>
      <c r="F287" s="643">
        <f>F280+F281+F282</f>
        <v>29424764.33</v>
      </c>
      <c r="G287" s="643">
        <f>G280+G281+G282</f>
        <v>29127036.63</v>
      </c>
      <c r="H287" s="395">
        <f>(H280+H281+H282)/3</f>
        <v>0.9123140470181722</v>
      </c>
      <c r="I287" s="395">
        <f>E287/H287</f>
        <v>1.0998044003010046</v>
      </c>
      <c r="J287" s="396"/>
      <c r="K287" s="92"/>
    </row>
    <row r="288" spans="1:11" s="5" customFormat="1" ht="15.75" customHeight="1">
      <c r="A288" s="834" t="s">
        <v>205</v>
      </c>
      <c r="B288" s="835"/>
      <c r="C288" s="835"/>
      <c r="D288" s="835"/>
      <c r="E288" s="835"/>
      <c r="F288" s="835"/>
      <c r="G288" s="835"/>
      <c r="H288" s="835"/>
      <c r="I288" s="835"/>
      <c r="J288" s="835"/>
      <c r="K288" s="41"/>
    </row>
    <row r="289" spans="1:11" s="5" customFormat="1" ht="76.5">
      <c r="A289" s="114" t="s">
        <v>149</v>
      </c>
      <c r="B289" s="122"/>
      <c r="C289" s="122"/>
      <c r="D289" s="122"/>
      <c r="E289" s="123"/>
      <c r="F289" s="115">
        <v>482266.06</v>
      </c>
      <c r="G289" s="116">
        <v>482241.71</v>
      </c>
      <c r="H289" s="304">
        <f>G289/F289</f>
        <v>0.9999495091983044</v>
      </c>
      <c r="I289" s="473"/>
      <c r="J289" s="118" t="s">
        <v>151</v>
      </c>
      <c r="K289" s="41"/>
    </row>
    <row r="290" spans="1:11" s="5" customFormat="1" ht="25.5">
      <c r="A290" s="114" t="s">
        <v>152</v>
      </c>
      <c r="B290" s="122"/>
      <c r="C290" s="122"/>
      <c r="D290" s="122"/>
      <c r="E290" s="123"/>
      <c r="F290" s="115">
        <v>754026.66</v>
      </c>
      <c r="G290" s="116">
        <v>754026.65</v>
      </c>
      <c r="H290" s="304">
        <f>G290/F290</f>
        <v>0.9999999867378695</v>
      </c>
      <c r="I290" s="473"/>
      <c r="J290" s="118"/>
      <c r="K290" s="41"/>
    </row>
    <row r="291" spans="1:11" s="5" customFormat="1" ht="38.25">
      <c r="A291" s="357" t="s">
        <v>153</v>
      </c>
      <c r="B291" s="122"/>
      <c r="C291" s="122"/>
      <c r="D291" s="122"/>
      <c r="E291" s="123"/>
      <c r="F291" s="115">
        <v>11578331</v>
      </c>
      <c r="G291" s="116">
        <v>11578331</v>
      </c>
      <c r="H291" s="304">
        <f>G291/F291</f>
        <v>1</v>
      </c>
      <c r="I291" s="473"/>
      <c r="J291" s="118"/>
      <c r="K291" s="41"/>
    </row>
    <row r="292" spans="1:11" s="5" customFormat="1" ht="37.5" customHeight="1">
      <c r="A292" s="512" t="s">
        <v>154</v>
      </c>
      <c r="B292" s="122"/>
      <c r="C292" s="122"/>
      <c r="D292" s="122"/>
      <c r="E292" s="123"/>
      <c r="F292" s="115">
        <v>3000000</v>
      </c>
      <c r="G292" s="116">
        <v>3000000</v>
      </c>
      <c r="H292" s="304">
        <f>G292/F292</f>
        <v>1</v>
      </c>
      <c r="I292" s="473"/>
      <c r="J292" s="118"/>
      <c r="K292" s="41"/>
    </row>
    <row r="293" spans="1:11" s="5" customFormat="1" ht="38.25">
      <c r="A293" s="357" t="s">
        <v>156</v>
      </c>
      <c r="B293" s="122"/>
      <c r="C293" s="122"/>
      <c r="D293" s="122"/>
      <c r="E293" s="123"/>
      <c r="F293" s="115">
        <v>630000</v>
      </c>
      <c r="G293" s="106">
        <v>630000</v>
      </c>
      <c r="H293" s="529">
        <f>G293/F293</f>
        <v>1</v>
      </c>
      <c r="I293" s="473"/>
      <c r="J293" s="118"/>
      <c r="K293" s="41"/>
    </row>
    <row r="294" spans="1:11" s="5" customFormat="1" ht="89.25">
      <c r="A294" s="24" t="s">
        <v>475</v>
      </c>
      <c r="B294" s="119">
        <v>5</v>
      </c>
      <c r="C294" s="120">
        <v>5</v>
      </c>
      <c r="D294" s="120">
        <v>0</v>
      </c>
      <c r="E294" s="104">
        <v>1</v>
      </c>
      <c r="F294" s="115"/>
      <c r="G294" s="116"/>
      <c r="H294" s="117"/>
      <c r="I294" s="117"/>
      <c r="J294" s="118"/>
      <c r="K294" s="41"/>
    </row>
    <row r="295" spans="1:11" s="5" customFormat="1" ht="87.75" customHeight="1">
      <c r="A295" s="114" t="s">
        <v>504</v>
      </c>
      <c r="B295" s="119">
        <v>5</v>
      </c>
      <c r="C295" s="120">
        <v>5</v>
      </c>
      <c r="D295" s="120">
        <v>0</v>
      </c>
      <c r="E295" s="104">
        <v>1</v>
      </c>
      <c r="F295" s="115"/>
      <c r="G295" s="116"/>
      <c r="H295" s="121"/>
      <c r="I295" s="121"/>
      <c r="J295" s="118"/>
      <c r="K295" s="41"/>
    </row>
    <row r="296" spans="1:11" s="5" customFormat="1" ht="102">
      <c r="A296" s="357" t="s">
        <v>155</v>
      </c>
      <c r="B296" s="119"/>
      <c r="C296" s="120"/>
      <c r="D296" s="120"/>
      <c r="E296" s="104"/>
      <c r="F296" s="115">
        <v>30063.32</v>
      </c>
      <c r="G296" s="116">
        <v>30063.32</v>
      </c>
      <c r="H296" s="531">
        <f>G296/F296</f>
        <v>1</v>
      </c>
      <c r="I296" s="121"/>
      <c r="J296" s="118"/>
      <c r="K296" s="41"/>
    </row>
    <row r="297" spans="1:11" s="5" customFormat="1" ht="25.5">
      <c r="A297" s="357" t="s">
        <v>157</v>
      </c>
      <c r="B297" s="523">
        <v>37.5</v>
      </c>
      <c r="C297" s="8">
        <v>37.5</v>
      </c>
      <c r="D297" s="8">
        <f>C297-B297</f>
        <v>0</v>
      </c>
      <c r="E297" s="89">
        <f>C297/B297</f>
        <v>1</v>
      </c>
      <c r="F297" s="526"/>
      <c r="G297" s="527"/>
      <c r="H297" s="528"/>
      <c r="I297" s="528"/>
      <c r="J297" s="67"/>
      <c r="K297" s="41"/>
    </row>
    <row r="298" spans="1:11" s="5" customFormat="1" ht="38.25">
      <c r="A298" s="357" t="s">
        <v>159</v>
      </c>
      <c r="B298" s="523">
        <v>100</v>
      </c>
      <c r="C298" s="8">
        <v>100</v>
      </c>
      <c r="D298" s="8">
        <f>C298-B298</f>
        <v>0</v>
      </c>
      <c r="E298" s="89">
        <f>C298/B298</f>
        <v>1</v>
      </c>
      <c r="F298" s="526"/>
      <c r="G298" s="527"/>
      <c r="H298" s="528"/>
      <c r="I298" s="528"/>
      <c r="J298" s="67"/>
      <c r="K298" s="41"/>
    </row>
    <row r="299" spans="1:11" s="5" customFormat="1" ht="12.75">
      <c r="A299" s="357"/>
      <c r="B299" s="523"/>
      <c r="C299" s="8"/>
      <c r="D299" s="8"/>
      <c r="E299" s="89"/>
      <c r="F299" s="526"/>
      <c r="G299" s="527"/>
      <c r="H299" s="528"/>
      <c r="I299" s="528"/>
      <c r="J299" s="67"/>
      <c r="K299" s="41"/>
    </row>
    <row r="300" spans="1:11" s="5" customFormat="1" ht="12.75">
      <c r="A300" s="379" t="s">
        <v>158</v>
      </c>
      <c r="B300" s="400">
        <f>SUM(B289:B298)</f>
        <v>147.5</v>
      </c>
      <c r="C300" s="400">
        <f>SUM(C289:C298)</f>
        <v>147.5</v>
      </c>
      <c r="D300" s="391">
        <f>C300-B300</f>
        <v>0</v>
      </c>
      <c r="E300" s="530">
        <f>C300/B300</f>
        <v>1</v>
      </c>
      <c r="F300" s="400">
        <f>F289+F290+F291+F292+F293+F296</f>
        <v>16474687.040000001</v>
      </c>
      <c r="G300" s="400">
        <f>G289+G290+G291+G292+G293+G296</f>
        <v>16474662.68</v>
      </c>
      <c r="H300" s="392">
        <f>(H289+H290+H291+H292+H293+H296)/6</f>
        <v>0.9999915826560289</v>
      </c>
      <c r="I300" s="399">
        <f>E300/H300</f>
        <v>1.0000084174148234</v>
      </c>
      <c r="J300" s="401"/>
      <c r="K300" s="41"/>
    </row>
    <row r="301" spans="1:11" s="5" customFormat="1" ht="18" customHeight="1">
      <c r="A301" s="789" t="s">
        <v>597</v>
      </c>
      <c r="B301" s="789"/>
      <c r="C301" s="789"/>
      <c r="D301" s="789"/>
      <c r="E301" s="789"/>
      <c r="F301" s="789"/>
      <c r="G301" s="789"/>
      <c r="H301" s="789"/>
      <c r="I301" s="789"/>
      <c r="J301" s="789"/>
      <c r="K301" s="41"/>
    </row>
    <row r="302" spans="1:11" s="5" customFormat="1" ht="63.75">
      <c r="A302" s="329" t="s">
        <v>792</v>
      </c>
      <c r="B302" s="330"/>
      <c r="C302" s="331"/>
      <c r="D302" s="332"/>
      <c r="E302" s="333"/>
      <c r="F302" s="334">
        <v>1969714.97</v>
      </c>
      <c r="G302" s="334">
        <v>1969714.97</v>
      </c>
      <c r="H302" s="474">
        <f>SUM(G302/F302)</f>
        <v>1</v>
      </c>
      <c r="I302" s="334"/>
      <c r="J302" s="238"/>
      <c r="K302" s="41"/>
    </row>
    <row r="303" spans="1:11" s="5" customFormat="1" ht="36" customHeight="1">
      <c r="A303" s="329" t="s">
        <v>288</v>
      </c>
      <c r="B303" s="330"/>
      <c r="C303" s="335"/>
      <c r="D303" s="336"/>
      <c r="E303" s="337"/>
      <c r="F303" s="334">
        <v>450600</v>
      </c>
      <c r="G303" s="334">
        <v>450600</v>
      </c>
      <c r="H303" s="474">
        <f>SUM(G303/F303)</f>
        <v>1</v>
      </c>
      <c r="I303" s="334"/>
      <c r="J303" s="214"/>
      <c r="K303" s="41"/>
    </row>
    <row r="304" spans="1:11" s="5" customFormat="1" ht="63.75">
      <c r="A304" s="338" t="s">
        <v>36</v>
      </c>
      <c r="B304" s="339"/>
      <c r="C304" s="339"/>
      <c r="D304" s="340"/>
      <c r="E304" s="340"/>
      <c r="F304" s="334">
        <v>5000</v>
      </c>
      <c r="G304" s="334">
        <v>5000</v>
      </c>
      <c r="H304" s="474">
        <f>SUM(G304/F304)</f>
        <v>1</v>
      </c>
      <c r="I304" s="334"/>
      <c r="J304" s="215"/>
      <c r="K304" s="41"/>
    </row>
    <row r="305" spans="1:11" s="5" customFormat="1" ht="25.5">
      <c r="A305" s="573" t="s">
        <v>751</v>
      </c>
      <c r="B305" s="574">
        <v>100</v>
      </c>
      <c r="C305" s="574">
        <v>98</v>
      </c>
      <c r="D305" s="574">
        <f aca="true" t="shared" si="12" ref="D305:D319">C305-B305</f>
        <v>-2</v>
      </c>
      <c r="E305" s="574">
        <f>C305/B305</f>
        <v>0.98</v>
      </c>
      <c r="F305" s="575"/>
      <c r="G305" s="576"/>
      <c r="H305" s="576"/>
      <c r="I305" s="576"/>
      <c r="J305" s="577"/>
      <c r="K305" s="41"/>
    </row>
    <row r="306" spans="1:11" s="5" customFormat="1" ht="25.5">
      <c r="A306" s="341" t="s">
        <v>190</v>
      </c>
      <c r="B306" s="475">
        <v>0.05</v>
      </c>
      <c r="C306" s="475">
        <v>0</v>
      </c>
      <c r="D306" s="475">
        <f t="shared" si="12"/>
        <v>-0.05</v>
      </c>
      <c r="E306" s="475">
        <f>C306/B306</f>
        <v>0</v>
      </c>
      <c r="F306" s="218"/>
      <c r="G306" s="343"/>
      <c r="H306" s="343"/>
      <c r="I306" s="343"/>
      <c r="J306" s="342"/>
      <c r="K306" s="41"/>
    </row>
    <row r="307" spans="1:11" s="5" customFormat="1" ht="25.5">
      <c r="A307" s="344" t="s">
        <v>191</v>
      </c>
      <c r="B307" s="211">
        <v>4384.7</v>
      </c>
      <c r="C307" s="476">
        <v>4339.64</v>
      </c>
      <c r="D307" s="211">
        <f t="shared" si="12"/>
        <v>-45.05999999999949</v>
      </c>
      <c r="E307" s="211">
        <f>C307/B307</f>
        <v>0.9897233562159328</v>
      </c>
      <c r="F307" s="218"/>
      <c r="G307" s="343"/>
      <c r="H307" s="343"/>
      <c r="I307" s="343"/>
      <c r="J307" s="342"/>
      <c r="K307" s="41"/>
    </row>
    <row r="308" spans="1:11" s="5" customFormat="1" ht="12.75">
      <c r="A308" s="344" t="s">
        <v>471</v>
      </c>
      <c r="B308" s="211">
        <v>12.01</v>
      </c>
      <c r="C308" s="211">
        <v>11.89</v>
      </c>
      <c r="D308" s="211">
        <f t="shared" si="12"/>
        <v>-0.11999999999999922</v>
      </c>
      <c r="E308" s="211">
        <f>B308/C308</f>
        <v>1.0100925147182505</v>
      </c>
      <c r="F308" s="218"/>
      <c r="G308" s="343"/>
      <c r="H308" s="343"/>
      <c r="I308" s="343"/>
      <c r="J308" s="342"/>
      <c r="K308" s="41"/>
    </row>
    <row r="309" spans="1:11" s="5" customFormat="1" ht="12.75">
      <c r="A309" s="344" t="s">
        <v>472</v>
      </c>
      <c r="B309" s="211">
        <v>0.05</v>
      </c>
      <c r="C309" s="211">
        <v>0</v>
      </c>
      <c r="D309" s="211">
        <f t="shared" si="12"/>
        <v>-0.05</v>
      </c>
      <c r="E309" s="211">
        <f>C309/B309</f>
        <v>0</v>
      </c>
      <c r="F309" s="218"/>
      <c r="G309" s="343"/>
      <c r="H309" s="343"/>
      <c r="I309" s="343"/>
      <c r="J309" s="342"/>
      <c r="K309" s="41"/>
    </row>
    <row r="310" spans="1:11" s="5" customFormat="1" ht="12.75">
      <c r="A310" s="344" t="s">
        <v>340</v>
      </c>
      <c r="B310" s="211">
        <v>0.04</v>
      </c>
      <c r="C310" s="211">
        <v>0</v>
      </c>
      <c r="D310" s="211">
        <f t="shared" si="12"/>
        <v>-0.04</v>
      </c>
      <c r="E310" s="211">
        <f>C310/B310</f>
        <v>0</v>
      </c>
      <c r="F310" s="218"/>
      <c r="G310" s="343"/>
      <c r="H310" s="343"/>
      <c r="I310" s="343"/>
      <c r="J310" s="342"/>
      <c r="K310" s="41"/>
    </row>
    <row r="311" spans="1:11" s="5" customFormat="1" ht="12.75">
      <c r="A311" s="341" t="s">
        <v>341</v>
      </c>
      <c r="B311" s="475">
        <v>0</v>
      </c>
      <c r="C311" s="475">
        <v>0</v>
      </c>
      <c r="D311" s="475">
        <f t="shared" si="12"/>
        <v>0</v>
      </c>
      <c r="E311" s="475">
        <v>1</v>
      </c>
      <c r="F311" s="218"/>
      <c r="G311" s="343"/>
      <c r="H311" s="343"/>
      <c r="I311" s="343"/>
      <c r="J311" s="342"/>
      <c r="K311" s="41"/>
    </row>
    <row r="312" spans="1:11" s="5" customFormat="1" ht="12.75">
      <c r="A312" s="341" t="s">
        <v>404</v>
      </c>
      <c r="B312" s="475">
        <v>24</v>
      </c>
      <c r="C312" s="475">
        <v>24</v>
      </c>
      <c r="D312" s="475">
        <f t="shared" si="12"/>
        <v>0</v>
      </c>
      <c r="E312" s="475">
        <f>C312/B312</f>
        <v>1</v>
      </c>
      <c r="F312" s="218"/>
      <c r="G312" s="343"/>
      <c r="H312" s="343"/>
      <c r="I312" s="343"/>
      <c r="J312" s="342"/>
      <c r="K312" s="41"/>
    </row>
    <row r="313" spans="1:11" s="5" customFormat="1" ht="38.25">
      <c r="A313" s="341" t="s">
        <v>405</v>
      </c>
      <c r="B313" s="475">
        <v>0</v>
      </c>
      <c r="C313" s="475">
        <v>0</v>
      </c>
      <c r="D313" s="475">
        <f t="shared" si="12"/>
        <v>0</v>
      </c>
      <c r="E313" s="475">
        <v>1</v>
      </c>
      <c r="F313" s="218"/>
      <c r="G313" s="343"/>
      <c r="H313" s="343"/>
      <c r="I313" s="343"/>
      <c r="J313" s="342"/>
      <c r="K313" s="41"/>
    </row>
    <row r="314" spans="1:11" s="5" customFormat="1" ht="38.25">
      <c r="A314" s="341" t="s">
        <v>406</v>
      </c>
      <c r="B314" s="475">
        <v>0</v>
      </c>
      <c r="C314" s="475">
        <v>0</v>
      </c>
      <c r="D314" s="475">
        <f t="shared" si="12"/>
        <v>0</v>
      </c>
      <c r="E314" s="475">
        <v>1</v>
      </c>
      <c r="F314" s="218"/>
      <c r="G314" s="343"/>
      <c r="H314" s="343"/>
      <c r="I314" s="343"/>
      <c r="J314" s="342"/>
      <c r="K314" s="41"/>
    </row>
    <row r="315" spans="1:11" s="5" customFormat="1" ht="25.5">
      <c r="A315" s="341" t="s">
        <v>793</v>
      </c>
      <c r="B315" s="475">
        <v>0.02</v>
      </c>
      <c r="C315" s="475">
        <v>0</v>
      </c>
      <c r="D315" s="475">
        <f t="shared" si="12"/>
        <v>-0.02</v>
      </c>
      <c r="E315" s="475">
        <v>1</v>
      </c>
      <c r="F315" s="218"/>
      <c r="G315" s="343"/>
      <c r="H315" s="343"/>
      <c r="I315" s="343"/>
      <c r="J315" s="342"/>
      <c r="K315" s="41"/>
    </row>
    <row r="316" spans="1:11" s="5" customFormat="1" ht="12.75">
      <c r="A316" s="341" t="s">
        <v>794</v>
      </c>
      <c r="B316" s="475">
        <v>152.24</v>
      </c>
      <c r="C316" s="475">
        <v>154.01</v>
      </c>
      <c r="D316" s="475">
        <f t="shared" si="12"/>
        <v>1.7699999999999818</v>
      </c>
      <c r="E316" s="475">
        <f aca="true" t="shared" si="13" ref="E316:E321">B316/C316</f>
        <v>0.9885072397896242</v>
      </c>
      <c r="F316" s="218"/>
      <c r="G316" s="343"/>
      <c r="H316" s="343"/>
      <c r="I316" s="343"/>
      <c r="J316" s="342"/>
      <c r="K316" s="41"/>
    </row>
    <row r="317" spans="1:11" s="5" customFormat="1" ht="12.75">
      <c r="A317" s="341" t="s">
        <v>795</v>
      </c>
      <c r="B317" s="475">
        <v>87.28</v>
      </c>
      <c r="C317" s="475">
        <v>88.18</v>
      </c>
      <c r="D317" s="475">
        <f t="shared" si="12"/>
        <v>0.9000000000000057</v>
      </c>
      <c r="E317" s="475">
        <f t="shared" si="13"/>
        <v>0.9897936039918348</v>
      </c>
      <c r="F317" s="218"/>
      <c r="G317" s="343"/>
      <c r="H317" s="343"/>
      <c r="I317" s="343"/>
      <c r="J317" s="342"/>
      <c r="K317" s="41"/>
    </row>
    <row r="318" spans="1:11" s="5" customFormat="1" ht="25.5">
      <c r="A318" s="345" t="s">
        <v>502</v>
      </c>
      <c r="B318" s="475">
        <v>30.89</v>
      </c>
      <c r="C318" s="475">
        <v>29.92</v>
      </c>
      <c r="D318" s="475">
        <f t="shared" si="12"/>
        <v>-0.9699999999999989</v>
      </c>
      <c r="E318" s="475">
        <f t="shared" si="13"/>
        <v>1.0324197860962567</v>
      </c>
      <c r="F318" s="218"/>
      <c r="G318" s="343"/>
      <c r="H318" s="343"/>
      <c r="I318" s="343"/>
      <c r="J318" s="342"/>
      <c r="K318" s="41"/>
    </row>
    <row r="319" spans="1:11" s="5" customFormat="1" ht="25.5">
      <c r="A319" s="345" t="s">
        <v>796</v>
      </c>
      <c r="B319" s="475">
        <v>12646</v>
      </c>
      <c r="C319" s="477">
        <v>12385</v>
      </c>
      <c r="D319" s="475">
        <f t="shared" si="12"/>
        <v>-261</v>
      </c>
      <c r="E319" s="475">
        <f t="shared" si="13"/>
        <v>1.0210738796931773</v>
      </c>
      <c r="F319" s="218"/>
      <c r="G319" s="343"/>
      <c r="H319" s="343"/>
      <c r="I319" s="343"/>
      <c r="J319" s="342"/>
      <c r="K319" s="41"/>
    </row>
    <row r="320" spans="1:11" s="5" customFormat="1" ht="25.5">
      <c r="A320" s="344" t="s">
        <v>656</v>
      </c>
      <c r="B320" s="211">
        <v>0.329</v>
      </c>
      <c r="C320" s="211">
        <v>0.361</v>
      </c>
      <c r="D320" s="211">
        <f>C320-B320</f>
        <v>0.03199999999999997</v>
      </c>
      <c r="E320" s="211">
        <f t="shared" si="13"/>
        <v>0.9113573407202217</v>
      </c>
      <c r="F320" s="218"/>
      <c r="G320" s="343"/>
      <c r="H320" s="343"/>
      <c r="I320" s="343"/>
      <c r="J320" s="342"/>
      <c r="K320" s="41"/>
    </row>
    <row r="321" spans="1:11" s="5" customFormat="1" ht="12.75">
      <c r="A321" s="344" t="s">
        <v>657</v>
      </c>
      <c r="B321" s="211">
        <v>83.51</v>
      </c>
      <c r="C321" s="211">
        <v>85.31</v>
      </c>
      <c r="D321" s="211">
        <f>C321-B321</f>
        <v>1.7999999999999972</v>
      </c>
      <c r="E321" s="211">
        <f t="shared" si="13"/>
        <v>0.9789004806001641</v>
      </c>
      <c r="F321" s="218"/>
      <c r="G321" s="343"/>
      <c r="H321" s="343"/>
      <c r="I321" s="343"/>
      <c r="J321" s="342"/>
      <c r="K321" s="41"/>
    </row>
    <row r="322" spans="1:11" s="5" customFormat="1" ht="51">
      <c r="A322" s="341" t="s">
        <v>658</v>
      </c>
      <c r="B322" s="475">
        <v>1</v>
      </c>
      <c r="C322" s="475">
        <v>1</v>
      </c>
      <c r="D322" s="475">
        <f>C322-B322</f>
        <v>0</v>
      </c>
      <c r="E322" s="475">
        <v>1</v>
      </c>
      <c r="F322" s="218"/>
      <c r="G322" s="343"/>
      <c r="H322" s="343"/>
      <c r="I322" s="343"/>
      <c r="J322" s="342"/>
      <c r="K322" s="41"/>
    </row>
    <row r="323" spans="1:11" s="5" customFormat="1" ht="12.75">
      <c r="A323" s="402" t="s">
        <v>503</v>
      </c>
      <c r="B323" s="403">
        <f>SUM(B305:B322)</f>
        <v>17522.119</v>
      </c>
      <c r="C323" s="403">
        <f>SUM(C305:C322)</f>
        <v>17217.311</v>
      </c>
      <c r="D323" s="404">
        <f>C323-B323</f>
        <v>-304.80799999999726</v>
      </c>
      <c r="E323" s="405">
        <f>C323/B323</f>
        <v>0.9826043870607204</v>
      </c>
      <c r="F323" s="403">
        <f>F302+F303+F304</f>
        <v>2425314.9699999997</v>
      </c>
      <c r="G323" s="403">
        <f>G302+G303+G304</f>
        <v>2425314.9699999997</v>
      </c>
      <c r="H323" s="405">
        <f>(H302+H303+H304)/3</f>
        <v>1</v>
      </c>
      <c r="I323" s="383">
        <f>E323/H323</f>
        <v>0.9826043870607204</v>
      </c>
      <c r="J323" s="406"/>
      <c r="K323" s="41"/>
    </row>
    <row r="324" spans="1:11" s="5" customFormat="1" ht="12.75">
      <c r="A324" s="778" t="s">
        <v>553</v>
      </c>
      <c r="B324" s="778"/>
      <c r="C324" s="778"/>
      <c r="D324" s="778"/>
      <c r="E324" s="778"/>
      <c r="F324" s="778"/>
      <c r="G324" s="778"/>
      <c r="H324" s="778"/>
      <c r="I324" s="778"/>
      <c r="J324" s="778"/>
      <c r="K324" s="41"/>
    </row>
    <row r="325" spans="1:11" s="5" customFormat="1" ht="51">
      <c r="A325" s="357" t="s">
        <v>547</v>
      </c>
      <c r="B325" s="200"/>
      <c r="C325" s="200"/>
      <c r="D325" s="200"/>
      <c r="E325" s="201"/>
      <c r="F325" s="207">
        <v>96369.4</v>
      </c>
      <c r="G325" s="207">
        <v>96355.4</v>
      </c>
      <c r="H325" s="309">
        <f>G325/F325</f>
        <v>0.9998547256701816</v>
      </c>
      <c r="I325" s="201"/>
      <c r="J325" s="350"/>
      <c r="K325" s="41"/>
    </row>
    <row r="326" spans="1:11" s="5" customFormat="1" ht="102" customHeight="1">
      <c r="A326" s="357" t="s">
        <v>548</v>
      </c>
      <c r="B326" s="347"/>
      <c r="C326" s="347"/>
      <c r="D326" s="346"/>
      <c r="E326" s="309"/>
      <c r="F326" s="312">
        <v>84900068.48</v>
      </c>
      <c r="G326" s="312">
        <v>36288.48</v>
      </c>
      <c r="H326" s="309">
        <f>G326/F326</f>
        <v>0.0004274258036499525</v>
      </c>
      <c r="I326" s="309"/>
      <c r="J326" s="761" t="s">
        <v>244</v>
      </c>
      <c r="K326" s="41"/>
    </row>
    <row r="327" spans="1:11" s="5" customFormat="1" ht="188.25" customHeight="1">
      <c r="A327" s="357" t="s">
        <v>549</v>
      </c>
      <c r="B327" s="347"/>
      <c r="C327" s="347"/>
      <c r="D327" s="346"/>
      <c r="E327" s="309"/>
      <c r="F327" s="736">
        <v>5905822.33</v>
      </c>
      <c r="G327" s="312">
        <v>1905822.33</v>
      </c>
      <c r="H327" s="309">
        <f>G327/F327</f>
        <v>0.32270227980258254</v>
      </c>
      <c r="I327" s="309"/>
      <c r="J327" s="761" t="s">
        <v>495</v>
      </c>
      <c r="K327" s="41"/>
    </row>
    <row r="328" spans="1:10" s="5" customFormat="1" ht="75.75" customHeight="1">
      <c r="A328" s="357" t="s">
        <v>550</v>
      </c>
      <c r="B328" s="202"/>
      <c r="C328" s="2"/>
      <c r="D328" s="346"/>
      <c r="E328" s="309"/>
      <c r="F328" s="207">
        <v>6000000</v>
      </c>
      <c r="G328" s="207">
        <v>5587299.41</v>
      </c>
      <c r="H328" s="309">
        <f>G328/F328</f>
        <v>0.9312165683333333</v>
      </c>
      <c r="I328" s="201"/>
      <c r="J328" s="761" t="s">
        <v>496</v>
      </c>
    </row>
    <row r="329" spans="1:10" s="5" customFormat="1" ht="51.75" customHeight="1">
      <c r="A329" s="239" t="s">
        <v>126</v>
      </c>
      <c r="B329" s="202">
        <v>3</v>
      </c>
      <c r="C329" s="346">
        <v>1</v>
      </c>
      <c r="D329" s="346">
        <f>C329-B329</f>
        <v>-2</v>
      </c>
      <c r="E329" s="309">
        <f>C329/B329</f>
        <v>0.3333333333333333</v>
      </c>
      <c r="F329" s="206"/>
      <c r="G329" s="206"/>
      <c r="H329" s="201"/>
      <c r="I329" s="201"/>
      <c r="J329" s="761" t="s">
        <v>715</v>
      </c>
    </row>
    <row r="330" spans="1:10" s="5" customFormat="1" ht="15.75">
      <c r="A330" s="239" t="s">
        <v>189</v>
      </c>
      <c r="B330" s="202">
        <v>550</v>
      </c>
      <c r="C330" s="346">
        <v>435</v>
      </c>
      <c r="D330" s="311">
        <f>C330-B330</f>
        <v>-115</v>
      </c>
      <c r="E330" s="309">
        <f>B330/C330</f>
        <v>1.264367816091954</v>
      </c>
      <c r="F330" s="206"/>
      <c r="G330" s="206"/>
      <c r="H330" s="201"/>
      <c r="I330" s="201"/>
      <c r="J330" s="202"/>
    </row>
    <row r="331" spans="1:10" s="5" customFormat="1" ht="12.75">
      <c r="A331" s="402" t="s">
        <v>166</v>
      </c>
      <c r="B331" s="407">
        <f>SUM(B328:B330)</f>
        <v>553</v>
      </c>
      <c r="C331" s="407">
        <f>SUM(C328:C330)</f>
        <v>436</v>
      </c>
      <c r="D331" s="407">
        <f>C331-B331</f>
        <v>-117</v>
      </c>
      <c r="E331" s="408">
        <f>(E329+E330)/2</f>
        <v>0.7988505747126436</v>
      </c>
      <c r="F331" s="407">
        <f>SUM(F325:F328)</f>
        <v>96902260.21000001</v>
      </c>
      <c r="G331" s="407">
        <f>SUM(G325:G328)</f>
        <v>7625765.62</v>
      </c>
      <c r="H331" s="408">
        <f>(H325+H326+H327+H328)/4</f>
        <v>0.5635502499024369</v>
      </c>
      <c r="I331" s="408">
        <f>E331/H331</f>
        <v>1.4175321097824773</v>
      </c>
      <c r="J331" s="409"/>
    </row>
    <row r="332" spans="1:12" s="5" customFormat="1" ht="21.75" customHeight="1">
      <c r="A332" s="789" t="s">
        <v>554</v>
      </c>
      <c r="B332" s="789"/>
      <c r="C332" s="789"/>
      <c r="D332" s="789"/>
      <c r="E332" s="789"/>
      <c r="F332" s="789"/>
      <c r="G332" s="789"/>
      <c r="H332" s="789"/>
      <c r="I332" s="789"/>
      <c r="J332" s="789"/>
      <c r="L332" s="5">
        <f>K332/H331</f>
        <v>0</v>
      </c>
    </row>
    <row r="333" spans="1:10" s="5" customFormat="1" ht="25.5" customHeight="1">
      <c r="A333" s="819" t="s">
        <v>473</v>
      </c>
      <c r="B333" s="820"/>
      <c r="C333" s="820"/>
      <c r="D333" s="820"/>
      <c r="E333" s="820"/>
      <c r="F333" s="820"/>
      <c r="G333" s="820"/>
      <c r="H333" s="820"/>
      <c r="I333" s="820"/>
      <c r="J333" s="821"/>
    </row>
    <row r="334" spans="1:11" s="5" customFormat="1" ht="51">
      <c r="A334" s="26" t="s">
        <v>477</v>
      </c>
      <c r="B334" s="12">
        <v>2</v>
      </c>
      <c r="C334" s="12">
        <v>2</v>
      </c>
      <c r="D334" s="12">
        <f>C334-B334</f>
        <v>0</v>
      </c>
      <c r="E334" s="13">
        <f>C334/B334</f>
        <v>1</v>
      </c>
      <c r="F334" s="193"/>
      <c r="G334" s="193"/>
      <c r="H334" s="194"/>
      <c r="I334" s="193"/>
      <c r="J334" s="42"/>
      <c r="K334" s="41"/>
    </row>
    <row r="335" spans="1:11" s="5" customFormat="1" ht="76.5">
      <c r="A335" s="737" t="s">
        <v>478</v>
      </c>
      <c r="B335" s="12">
        <v>100</v>
      </c>
      <c r="C335" s="12">
        <v>100</v>
      </c>
      <c r="D335" s="12">
        <f>C335-B335</f>
        <v>0</v>
      </c>
      <c r="E335" s="13">
        <f>C335/B335</f>
        <v>1</v>
      </c>
      <c r="F335" s="195"/>
      <c r="G335" s="196"/>
      <c r="H335" s="10"/>
      <c r="I335" s="178"/>
      <c r="J335" s="197"/>
      <c r="K335" s="41"/>
    </row>
    <row r="336" spans="1:11" s="5" customFormat="1" ht="25.5">
      <c r="A336" s="26" t="s">
        <v>479</v>
      </c>
      <c r="B336" s="12"/>
      <c r="C336" s="12"/>
      <c r="D336" s="12"/>
      <c r="E336" s="13"/>
      <c r="F336" s="195"/>
      <c r="G336" s="196"/>
      <c r="H336" s="10"/>
      <c r="I336" s="178"/>
      <c r="J336" s="197"/>
      <c r="K336" s="41"/>
    </row>
    <row r="337" spans="1:11" s="5" customFormat="1" ht="12.75">
      <c r="A337" s="26" t="s">
        <v>480</v>
      </c>
      <c r="B337" s="12">
        <v>53</v>
      </c>
      <c r="C337" s="12">
        <v>53</v>
      </c>
      <c r="D337" s="12">
        <f aca="true" t="shared" si="14" ref="D337:D342">C337-B337</f>
        <v>0</v>
      </c>
      <c r="E337" s="13">
        <f aca="true" t="shared" si="15" ref="E337:E342">C337/B337</f>
        <v>1</v>
      </c>
      <c r="F337" s="195"/>
      <c r="G337" s="196"/>
      <c r="H337" s="10"/>
      <c r="I337" s="178"/>
      <c r="J337" s="197"/>
      <c r="K337" s="41"/>
    </row>
    <row r="338" spans="1:11" s="5" customFormat="1" ht="12.75">
      <c r="A338" s="26" t="s">
        <v>481</v>
      </c>
      <c r="B338" s="12">
        <v>10</v>
      </c>
      <c r="C338" s="12">
        <v>10</v>
      </c>
      <c r="D338" s="12">
        <f t="shared" si="14"/>
        <v>0</v>
      </c>
      <c r="E338" s="13">
        <f t="shared" si="15"/>
        <v>1</v>
      </c>
      <c r="F338" s="20"/>
      <c r="G338" s="20"/>
      <c r="H338" s="10"/>
      <c r="I338" s="245"/>
      <c r="J338" s="197"/>
      <c r="K338" s="41"/>
    </row>
    <row r="339" spans="1:11" s="5" customFormat="1" ht="75.75" customHeight="1">
      <c r="A339" s="26" t="s">
        <v>482</v>
      </c>
      <c r="B339" s="12">
        <v>100</v>
      </c>
      <c r="C339" s="12">
        <v>100</v>
      </c>
      <c r="D339" s="12">
        <f t="shared" si="14"/>
        <v>0</v>
      </c>
      <c r="E339" s="13">
        <f t="shared" si="15"/>
        <v>1</v>
      </c>
      <c r="F339" s="20"/>
      <c r="G339" s="20"/>
      <c r="H339" s="10"/>
      <c r="I339" s="245"/>
      <c r="J339" s="197"/>
      <c r="K339" s="41"/>
    </row>
    <row r="340" spans="1:11" s="5" customFormat="1" ht="38.25">
      <c r="A340" s="26" t="s">
        <v>693</v>
      </c>
      <c r="B340" s="12">
        <v>100</v>
      </c>
      <c r="C340" s="12">
        <v>100</v>
      </c>
      <c r="D340" s="12">
        <f t="shared" si="14"/>
        <v>0</v>
      </c>
      <c r="E340" s="13">
        <f t="shared" si="15"/>
        <v>1</v>
      </c>
      <c r="F340" s="20"/>
      <c r="G340" s="20"/>
      <c r="H340" s="10"/>
      <c r="I340" s="245"/>
      <c r="J340" s="197"/>
      <c r="K340" s="41"/>
    </row>
    <row r="341" spans="1:11" s="5" customFormat="1" ht="25.5">
      <c r="A341" s="26" t="s">
        <v>694</v>
      </c>
      <c r="B341" s="12">
        <v>1</v>
      </c>
      <c r="C341" s="12">
        <v>1</v>
      </c>
      <c r="D341" s="12">
        <f t="shared" si="14"/>
        <v>0</v>
      </c>
      <c r="E341" s="13">
        <f t="shared" si="15"/>
        <v>1</v>
      </c>
      <c r="F341" s="20"/>
      <c r="G341" s="20"/>
      <c r="H341" s="10"/>
      <c r="I341" s="245"/>
      <c r="J341" s="197"/>
      <c r="K341" s="41"/>
    </row>
    <row r="342" spans="1:11" s="5" customFormat="1" ht="63.75">
      <c r="A342" s="26" t="s">
        <v>695</v>
      </c>
      <c r="B342" s="12">
        <v>100</v>
      </c>
      <c r="C342" s="12">
        <v>100</v>
      </c>
      <c r="D342" s="12">
        <f t="shared" si="14"/>
        <v>0</v>
      </c>
      <c r="E342" s="13">
        <f t="shared" si="15"/>
        <v>1</v>
      </c>
      <c r="F342" s="20"/>
      <c r="G342" s="20"/>
      <c r="H342" s="10"/>
      <c r="I342" s="245"/>
      <c r="J342" s="197"/>
      <c r="K342" s="41"/>
    </row>
    <row r="343" spans="1:11" s="5" customFormat="1" ht="25.5">
      <c r="A343" s="26" t="s">
        <v>696</v>
      </c>
      <c r="B343" s="12"/>
      <c r="C343" s="12"/>
      <c r="D343" s="12"/>
      <c r="E343" s="13"/>
      <c r="F343" s="20"/>
      <c r="G343" s="20"/>
      <c r="H343" s="10"/>
      <c r="I343" s="245"/>
      <c r="J343" s="197"/>
      <c r="K343" s="41"/>
    </row>
    <row r="344" spans="1:11" s="5" customFormat="1" ht="25.5">
      <c r="A344" s="26" t="s">
        <v>697</v>
      </c>
      <c r="B344" s="12">
        <v>1</v>
      </c>
      <c r="C344" s="12">
        <v>1</v>
      </c>
      <c r="D344" s="12">
        <f>C344-B344</f>
        <v>0</v>
      </c>
      <c r="E344" s="13">
        <f>C344/B344</f>
        <v>1</v>
      </c>
      <c r="F344" s="502"/>
      <c r="G344" s="502"/>
      <c r="H344" s="505"/>
      <c r="I344" s="245"/>
      <c r="J344" s="197"/>
      <c r="K344" s="41"/>
    </row>
    <row r="345" spans="1:11" s="5" customFormat="1" ht="12.75">
      <c r="A345" s="734" t="s">
        <v>698</v>
      </c>
      <c r="B345" s="12">
        <v>1</v>
      </c>
      <c r="C345" s="12">
        <v>1</v>
      </c>
      <c r="D345" s="12">
        <f>C345-B345</f>
        <v>0</v>
      </c>
      <c r="E345" s="13">
        <f>C345/B345</f>
        <v>1</v>
      </c>
      <c r="F345" s="502"/>
      <c r="G345" s="502"/>
      <c r="H345" s="505"/>
      <c r="I345" s="245"/>
      <c r="J345" s="197"/>
      <c r="K345" s="41"/>
    </row>
    <row r="346" spans="1:11" s="5" customFormat="1" ht="38.25">
      <c r="A346" s="357" t="s">
        <v>699</v>
      </c>
      <c r="B346" s="193">
        <v>100</v>
      </c>
      <c r="C346" s="193">
        <v>100</v>
      </c>
      <c r="D346" s="193">
        <f>C346-B346</f>
        <v>0</v>
      </c>
      <c r="E346" s="194">
        <f>C346/B346</f>
        <v>1</v>
      </c>
      <c r="F346" s="502"/>
      <c r="G346" s="502"/>
      <c r="H346" s="505"/>
      <c r="I346" s="245"/>
      <c r="J346" s="197"/>
      <c r="K346" s="41"/>
    </row>
    <row r="347" spans="1:11" s="5" customFormat="1" ht="25.5">
      <c r="A347" s="357" t="s">
        <v>700</v>
      </c>
      <c r="B347" s="193">
        <v>100</v>
      </c>
      <c r="C347" s="193">
        <v>100</v>
      </c>
      <c r="D347" s="193">
        <f>C347-B347</f>
        <v>0</v>
      </c>
      <c r="E347" s="194">
        <f>C347/B347</f>
        <v>1</v>
      </c>
      <c r="F347" s="502"/>
      <c r="G347" s="502"/>
      <c r="H347" s="505"/>
      <c r="I347" s="245"/>
      <c r="J347" s="197"/>
      <c r="K347" s="41"/>
    </row>
    <row r="348" spans="1:11" s="5" customFormat="1" ht="38.25">
      <c r="A348" s="357" t="s">
        <v>701</v>
      </c>
      <c r="B348" s="193"/>
      <c r="C348" s="193"/>
      <c r="D348" s="193"/>
      <c r="E348" s="194"/>
      <c r="F348" s="12">
        <v>2265775.98</v>
      </c>
      <c r="G348" s="12">
        <v>2265775.98</v>
      </c>
      <c r="H348" s="13">
        <f>G348/F348</f>
        <v>1</v>
      </c>
      <c r="I348" s="245"/>
      <c r="J348" s="197"/>
      <c r="K348" s="41"/>
    </row>
    <row r="349" spans="1:11" s="5" customFormat="1" ht="25.5">
      <c r="A349" s="357" t="s">
        <v>702</v>
      </c>
      <c r="B349" s="193"/>
      <c r="C349" s="193"/>
      <c r="D349" s="193"/>
      <c r="E349" s="194"/>
      <c r="F349" s="12">
        <v>17076209.5</v>
      </c>
      <c r="G349" s="12">
        <v>17076209.5</v>
      </c>
      <c r="H349" s="13">
        <f>G349/F349</f>
        <v>1</v>
      </c>
      <c r="I349" s="245"/>
      <c r="J349" s="197"/>
      <c r="K349" s="41"/>
    </row>
    <row r="350" spans="1:11" s="5" customFormat="1" ht="38.25">
      <c r="A350" s="357" t="s">
        <v>703</v>
      </c>
      <c r="B350" s="193"/>
      <c r="C350" s="193"/>
      <c r="D350" s="193"/>
      <c r="E350" s="194"/>
      <c r="F350" s="12">
        <v>223166.97</v>
      </c>
      <c r="G350" s="12">
        <v>223166.97</v>
      </c>
      <c r="H350" s="13">
        <f>G350/F350</f>
        <v>1</v>
      </c>
      <c r="I350" s="245"/>
      <c r="J350" s="197"/>
      <c r="K350" s="41"/>
    </row>
    <row r="351" spans="1:11" s="5" customFormat="1" ht="38.25">
      <c r="A351" s="357" t="s">
        <v>704</v>
      </c>
      <c r="B351" s="193"/>
      <c r="C351" s="193"/>
      <c r="D351" s="193"/>
      <c r="E351" s="194"/>
      <c r="F351" s="12">
        <v>3481105.32</v>
      </c>
      <c r="G351" s="12">
        <v>3481105.32</v>
      </c>
      <c r="H351" s="13">
        <f>G351/F351</f>
        <v>1</v>
      </c>
      <c r="I351" s="245"/>
      <c r="J351" s="197"/>
      <c r="K351" s="41"/>
    </row>
    <row r="352" spans="1:11" s="5" customFormat="1" ht="12.75">
      <c r="A352" s="358" t="s">
        <v>469</v>
      </c>
      <c r="B352" s="651"/>
      <c r="C352" s="651"/>
      <c r="D352" s="651"/>
      <c r="E352" s="17">
        <f>(E334+E335+E337+E338+E339+E340+E341+E342+E344+E345+E346+E347)/12</f>
        <v>1</v>
      </c>
      <c r="F352" s="763">
        <f>F348+F349+F350+F351</f>
        <v>23046257.77</v>
      </c>
      <c r="G352" s="763">
        <f>G348+G349+G350+G351</f>
        <v>23046257.77</v>
      </c>
      <c r="H352" s="11">
        <f>(H348+H349+H350+H351)/4</f>
        <v>1</v>
      </c>
      <c r="I352" s="765">
        <f>E352/H352</f>
        <v>1</v>
      </c>
      <c r="J352" s="197"/>
      <c r="K352" s="41"/>
    </row>
    <row r="353" spans="1:11" s="5" customFormat="1" ht="25.5">
      <c r="A353" s="357" t="s">
        <v>171</v>
      </c>
      <c r="B353" s="193"/>
      <c r="C353" s="193"/>
      <c r="D353" s="193"/>
      <c r="E353" s="194"/>
      <c r="F353" s="502"/>
      <c r="G353" s="502">
        <f>G352/G370</f>
        <v>0.9446660085567083</v>
      </c>
      <c r="H353" s="505"/>
      <c r="I353" s="506"/>
      <c r="J353" s="197"/>
      <c r="K353" s="41"/>
    </row>
    <row r="354" spans="1:11" s="5" customFormat="1" ht="12.75">
      <c r="A354" s="798" t="s">
        <v>705</v>
      </c>
      <c r="B354" s="798"/>
      <c r="C354" s="798"/>
      <c r="D354" s="798"/>
      <c r="E354" s="798"/>
      <c r="F354" s="798"/>
      <c r="G354" s="798"/>
      <c r="H354" s="798"/>
      <c r="I354" s="798"/>
      <c r="J354" s="798"/>
      <c r="K354" s="41"/>
    </row>
    <row r="355" spans="1:12" s="5" customFormat="1" ht="63.75">
      <c r="A355" s="357" t="s">
        <v>706</v>
      </c>
      <c r="B355" s="12">
        <v>100</v>
      </c>
      <c r="C355" s="12">
        <v>100</v>
      </c>
      <c r="D355" s="12">
        <f>C355-B355</f>
        <v>0</v>
      </c>
      <c r="E355" s="13">
        <f>C355/B355</f>
        <v>1</v>
      </c>
      <c r="F355" s="12"/>
      <c r="G355" s="12"/>
      <c r="H355" s="13"/>
      <c r="I355" s="12"/>
      <c r="J355" s="46"/>
      <c r="K355" s="41"/>
      <c r="L355" s="41"/>
    </row>
    <row r="356" spans="1:10" s="5" customFormat="1" ht="38.25">
      <c r="A356" s="26" t="s">
        <v>707</v>
      </c>
      <c r="B356" s="12"/>
      <c r="C356" s="12"/>
      <c r="D356" s="12"/>
      <c r="E356" s="13"/>
      <c r="F356" s="12">
        <v>1128463.23</v>
      </c>
      <c r="G356" s="12">
        <v>1128463.23</v>
      </c>
      <c r="H356" s="8">
        <f>G356/F356</f>
        <v>1</v>
      </c>
      <c r="I356" s="26"/>
      <c r="J356" s="46"/>
    </row>
    <row r="357" spans="1:10" s="5" customFormat="1" ht="12.75">
      <c r="A357" s="646" t="s">
        <v>769</v>
      </c>
      <c r="B357" s="16"/>
      <c r="C357" s="16"/>
      <c r="D357" s="16"/>
      <c r="E357" s="17">
        <f>(C355/B355)/1</f>
        <v>1</v>
      </c>
      <c r="F357" s="763">
        <f>F356</f>
        <v>1128463.23</v>
      </c>
      <c r="G357" s="763">
        <f>G356</f>
        <v>1128463.23</v>
      </c>
      <c r="H357" s="764">
        <f>(G356/F356)/1</f>
        <v>1</v>
      </c>
      <c r="I357" s="764">
        <f>E357/H357</f>
        <v>1</v>
      </c>
      <c r="J357" s="46"/>
    </row>
    <row r="358" spans="1:10" s="5" customFormat="1" ht="25.5">
      <c r="A358" s="26" t="s">
        <v>172</v>
      </c>
      <c r="B358" s="12"/>
      <c r="C358" s="12"/>
      <c r="D358" s="12"/>
      <c r="E358" s="13"/>
      <c r="F358" s="20"/>
      <c r="G358" s="20">
        <f>G357/G370</f>
        <v>0.046255703026752644</v>
      </c>
      <c r="H358" s="9"/>
      <c r="I358" s="9"/>
      <c r="J358" s="46"/>
    </row>
    <row r="359" spans="1:10" s="5" customFormat="1" ht="12.75">
      <c r="A359" s="816" t="s">
        <v>708</v>
      </c>
      <c r="B359" s="816"/>
      <c r="C359" s="816"/>
      <c r="D359" s="816"/>
      <c r="E359" s="816"/>
      <c r="F359" s="816"/>
      <c r="G359" s="816"/>
      <c r="H359" s="816"/>
      <c r="I359" s="816"/>
      <c r="J359" s="816"/>
    </row>
    <row r="360" spans="1:12" s="7" customFormat="1" ht="14.25" customHeight="1">
      <c r="A360" s="26" t="s">
        <v>709</v>
      </c>
      <c r="B360" s="12">
        <v>1</v>
      </c>
      <c r="C360" s="12">
        <v>1</v>
      </c>
      <c r="D360" s="12">
        <f>C360-B360</f>
        <v>0</v>
      </c>
      <c r="E360" s="13">
        <f>C360/B360</f>
        <v>1</v>
      </c>
      <c r="F360" s="12"/>
      <c r="G360" s="12"/>
      <c r="H360" s="13"/>
      <c r="I360" s="12"/>
      <c r="J360" s="46"/>
      <c r="K360" s="5"/>
      <c r="L360" s="5"/>
    </row>
    <row r="361" spans="1:12" s="7" customFormat="1" ht="63.75">
      <c r="A361" s="26" t="s">
        <v>710</v>
      </c>
      <c r="B361" s="12"/>
      <c r="C361" s="12"/>
      <c r="D361" s="12"/>
      <c r="E361" s="13"/>
      <c r="F361" s="12">
        <v>181308.71</v>
      </c>
      <c r="G361" s="12">
        <v>181308.71</v>
      </c>
      <c r="H361" s="13">
        <f>G361/F361</f>
        <v>1</v>
      </c>
      <c r="I361" s="12"/>
      <c r="J361" s="46"/>
      <c r="K361" s="5"/>
      <c r="L361" s="5"/>
    </row>
    <row r="362" spans="1:12" s="7" customFormat="1" ht="25.5">
      <c r="A362" s="26" t="s">
        <v>173</v>
      </c>
      <c r="B362" s="12"/>
      <c r="C362" s="12"/>
      <c r="D362" s="12"/>
      <c r="E362" s="13"/>
      <c r="F362" s="12"/>
      <c r="G362" s="12">
        <f>G363/G370</f>
        <v>0.007431843256358134</v>
      </c>
      <c r="H362" s="13"/>
      <c r="I362" s="12"/>
      <c r="J362" s="46"/>
      <c r="K362" s="5"/>
      <c r="L362" s="5"/>
    </row>
    <row r="363" spans="1:12" s="7" customFormat="1" ht="12.75">
      <c r="A363" s="646" t="s">
        <v>470</v>
      </c>
      <c r="B363" s="16"/>
      <c r="C363" s="16"/>
      <c r="D363" s="16"/>
      <c r="E363" s="17">
        <f>(C360/B360)/1</f>
        <v>1</v>
      </c>
      <c r="F363" s="16">
        <f>F361</f>
        <v>181308.71</v>
      </c>
      <c r="G363" s="16">
        <f>G361</f>
        <v>181308.71</v>
      </c>
      <c r="H363" s="17">
        <f>(G361/F361)/1</f>
        <v>1</v>
      </c>
      <c r="I363" s="16">
        <f>E363/H363</f>
        <v>1</v>
      </c>
      <c r="J363" s="46"/>
      <c r="K363" s="5"/>
      <c r="L363" s="5"/>
    </row>
    <row r="364" spans="1:12" s="7" customFormat="1" ht="12.75">
      <c r="A364" s="816" t="s">
        <v>711</v>
      </c>
      <c r="B364" s="816"/>
      <c r="C364" s="816"/>
      <c r="D364" s="816"/>
      <c r="E364" s="816"/>
      <c r="F364" s="816"/>
      <c r="G364" s="816"/>
      <c r="H364" s="816"/>
      <c r="I364" s="816"/>
      <c r="J364" s="816"/>
      <c r="K364" s="5"/>
      <c r="L364" s="5"/>
    </row>
    <row r="365" spans="1:12" s="7" customFormat="1" ht="14.25" customHeight="1">
      <c r="A365" s="26" t="s">
        <v>712</v>
      </c>
      <c r="B365" s="8">
        <v>1</v>
      </c>
      <c r="C365" s="8">
        <v>0</v>
      </c>
      <c r="D365" s="8">
        <f>C365-B365</f>
        <v>-1</v>
      </c>
      <c r="E365" s="8">
        <f>C365/B365</f>
        <v>0</v>
      </c>
      <c r="F365" s="12"/>
      <c r="G365" s="12"/>
      <c r="H365" s="13"/>
      <c r="I365" s="13"/>
      <c r="J365" s="46"/>
      <c r="K365" s="5"/>
      <c r="L365" s="5"/>
    </row>
    <row r="366" spans="1:12" s="7" customFormat="1" ht="28.5" customHeight="1">
      <c r="A366" s="26" t="s">
        <v>713</v>
      </c>
      <c r="B366" s="12"/>
      <c r="C366" s="12"/>
      <c r="D366" s="12"/>
      <c r="E366" s="13"/>
      <c r="F366" s="12">
        <v>29067</v>
      </c>
      <c r="G366" s="12">
        <v>29067</v>
      </c>
      <c r="H366" s="13">
        <f>G366/F366</f>
        <v>1</v>
      </c>
      <c r="I366" s="13"/>
      <c r="J366" s="46"/>
      <c r="K366" s="5"/>
      <c r="L366" s="5"/>
    </row>
    <row r="367" spans="1:11" s="7" customFormat="1" ht="12.75">
      <c r="A367" s="26" t="s">
        <v>169</v>
      </c>
      <c r="B367" s="12"/>
      <c r="C367" s="12"/>
      <c r="D367" s="12"/>
      <c r="E367" s="13"/>
      <c r="F367" s="12">
        <v>13000</v>
      </c>
      <c r="G367" s="12">
        <v>11100</v>
      </c>
      <c r="H367" s="13">
        <f>G367/F367</f>
        <v>0.8538461538461538</v>
      </c>
      <c r="I367" s="13"/>
      <c r="J367" s="46"/>
      <c r="K367" s="198"/>
    </row>
    <row r="368" spans="1:11" s="7" customFormat="1" ht="25.5">
      <c r="A368" s="26" t="s">
        <v>174</v>
      </c>
      <c r="B368" s="12"/>
      <c r="C368" s="12"/>
      <c r="D368" s="12"/>
      <c r="E368" s="13"/>
      <c r="F368" s="12"/>
      <c r="G368" s="12">
        <f>G369/G370</f>
        <v>0.0016464451601808715</v>
      </c>
      <c r="H368" s="13"/>
      <c r="I368" s="13"/>
      <c r="J368" s="46"/>
      <c r="K368" s="198"/>
    </row>
    <row r="369" spans="1:11" s="7" customFormat="1" ht="12.75">
      <c r="A369" s="646" t="s">
        <v>170</v>
      </c>
      <c r="B369" s="16"/>
      <c r="C369" s="16"/>
      <c r="D369" s="16"/>
      <c r="E369" s="17">
        <f>(C365/B365)/1</f>
        <v>0</v>
      </c>
      <c r="F369" s="16">
        <f>F366+F367</f>
        <v>42067</v>
      </c>
      <c r="G369" s="16">
        <f>G366+G367</f>
        <v>40167</v>
      </c>
      <c r="H369" s="17">
        <f>(H366+H367)/2</f>
        <v>0.926923076923077</v>
      </c>
      <c r="I369" s="17">
        <f>E369/H369</f>
        <v>0</v>
      </c>
      <c r="J369" s="46"/>
      <c r="K369" s="198"/>
    </row>
    <row r="370" spans="1:11" s="7" customFormat="1" ht="12.75">
      <c r="A370" s="504" t="s">
        <v>403</v>
      </c>
      <c r="B370" s="504">
        <f>B334+B335+B337+B338+B339+B340+B341+B342+B344+B345++B346+B347++B355+B360+B365</f>
        <v>770</v>
      </c>
      <c r="C370" s="504">
        <f>C334+C335+C337+C338+C339+C340+C341+C342+C344+C345++C346+C347++C355+C360+C365</f>
        <v>769</v>
      </c>
      <c r="D370" s="504">
        <f>C370-B370</f>
        <v>-1</v>
      </c>
      <c r="E370" s="504">
        <f>C370/B370</f>
        <v>0.9987012987012988</v>
      </c>
      <c r="F370" s="504">
        <f>F348+F349+F350+F351+F356+F361+F366+F367</f>
        <v>24398096.71</v>
      </c>
      <c r="G370" s="504">
        <f>G348+G349+G350+G351+G356+G361+G366+G367</f>
        <v>24396196.71</v>
      </c>
      <c r="H370" s="465">
        <f>G370/F370</f>
        <v>0.9999221250730095</v>
      </c>
      <c r="I370" s="504">
        <f>E370/H370</f>
        <v>0.9987790785491204</v>
      </c>
      <c r="J370" s="504"/>
      <c r="K370" s="198"/>
    </row>
    <row r="371" spans="1:12" s="5" customFormat="1" ht="12.75">
      <c r="A371" s="817" t="s">
        <v>555</v>
      </c>
      <c r="B371" s="817"/>
      <c r="C371" s="817"/>
      <c r="D371" s="817"/>
      <c r="E371" s="817"/>
      <c r="F371" s="817"/>
      <c r="G371" s="817"/>
      <c r="H371" s="817"/>
      <c r="I371" s="817"/>
      <c r="J371" s="817"/>
      <c r="K371" s="199"/>
      <c r="L371" s="503"/>
    </row>
    <row r="372" spans="1:11" s="5" customFormat="1" ht="12.75">
      <c r="A372" s="818" t="s">
        <v>588</v>
      </c>
      <c r="B372" s="818"/>
      <c r="C372" s="818"/>
      <c r="D372" s="818"/>
      <c r="E372" s="818"/>
      <c r="F372" s="818"/>
      <c r="G372" s="818"/>
      <c r="H372" s="818"/>
      <c r="I372" s="818"/>
      <c r="J372" s="818"/>
      <c r="K372" s="41"/>
    </row>
    <row r="373" spans="1:11" s="5" customFormat="1" ht="25.5">
      <c r="A373" s="303" t="s">
        <v>215</v>
      </c>
      <c r="B373" s="296">
        <v>3088410</v>
      </c>
      <c r="C373" s="296">
        <v>3088410</v>
      </c>
      <c r="D373" s="297">
        <f aca="true" t="shared" si="16" ref="D373:D378">C373-B373</f>
        <v>0</v>
      </c>
      <c r="E373" s="478">
        <f aca="true" t="shared" si="17" ref="E373:E378">C373/B373</f>
        <v>1</v>
      </c>
      <c r="F373" s="289"/>
      <c r="G373" s="289"/>
      <c r="H373" s="289"/>
      <c r="I373" s="289"/>
      <c r="J373" s="290"/>
      <c r="K373" s="41"/>
    </row>
    <row r="374" spans="1:11" s="5" customFormat="1" ht="26.25" customHeight="1">
      <c r="A374" s="303" t="s">
        <v>216</v>
      </c>
      <c r="B374" s="300">
        <v>100</v>
      </c>
      <c r="C374" s="297">
        <v>102.47</v>
      </c>
      <c r="D374" s="297">
        <f t="shared" si="16"/>
        <v>2.469999999999999</v>
      </c>
      <c r="E374" s="478">
        <f t="shared" si="17"/>
        <v>1.0247</v>
      </c>
      <c r="F374" s="289"/>
      <c r="G374" s="289"/>
      <c r="H374" s="289"/>
      <c r="I374" s="289"/>
      <c r="J374" s="290"/>
      <c r="K374" s="41"/>
    </row>
    <row r="375" spans="1:11" s="5" customFormat="1" ht="51">
      <c r="A375" s="303" t="s">
        <v>217</v>
      </c>
      <c r="B375" s="296">
        <v>48500026</v>
      </c>
      <c r="C375" s="298">
        <v>48500026</v>
      </c>
      <c r="D375" s="297">
        <f t="shared" si="16"/>
        <v>0</v>
      </c>
      <c r="E375" s="478">
        <f t="shared" si="17"/>
        <v>1</v>
      </c>
      <c r="F375" s="289"/>
      <c r="G375" s="289"/>
      <c r="H375" s="289"/>
      <c r="I375" s="289"/>
      <c r="J375" s="290"/>
      <c r="K375" s="41"/>
    </row>
    <row r="376" spans="1:11" s="5" customFormat="1" ht="48.75" customHeight="1">
      <c r="A376" s="303" t="s">
        <v>218</v>
      </c>
      <c r="B376" s="300">
        <v>100</v>
      </c>
      <c r="C376" s="297">
        <v>103.7</v>
      </c>
      <c r="D376" s="297">
        <f t="shared" si="16"/>
        <v>3.700000000000003</v>
      </c>
      <c r="E376" s="478">
        <f t="shared" si="17"/>
        <v>1.037</v>
      </c>
      <c r="F376" s="289"/>
      <c r="G376" s="289"/>
      <c r="H376" s="289"/>
      <c r="I376" s="289"/>
      <c r="J376" s="290"/>
      <c r="K376" s="41"/>
    </row>
    <row r="377" spans="1:11" s="5" customFormat="1" ht="54" customHeight="1">
      <c r="A377" s="303" t="s">
        <v>219</v>
      </c>
      <c r="B377" s="296">
        <v>1727</v>
      </c>
      <c r="C377" s="296">
        <v>1727</v>
      </c>
      <c r="D377" s="297">
        <f t="shared" si="16"/>
        <v>0</v>
      </c>
      <c r="E377" s="478">
        <f t="shared" si="17"/>
        <v>1</v>
      </c>
      <c r="F377" s="289"/>
      <c r="G377" s="289"/>
      <c r="H377" s="289"/>
      <c r="I377" s="289"/>
      <c r="J377" s="290"/>
      <c r="K377" s="41"/>
    </row>
    <row r="378" spans="1:11" s="5" customFormat="1" ht="51" customHeight="1">
      <c r="A378" s="303" t="s">
        <v>220</v>
      </c>
      <c r="B378" s="296">
        <v>208</v>
      </c>
      <c r="C378" s="296">
        <v>208</v>
      </c>
      <c r="D378" s="297">
        <f t="shared" si="16"/>
        <v>0</v>
      </c>
      <c r="E378" s="478">
        <f t="shared" si="17"/>
        <v>1</v>
      </c>
      <c r="F378" s="289"/>
      <c r="G378" s="289"/>
      <c r="H378" s="289"/>
      <c r="I378" s="289"/>
      <c r="J378" s="290"/>
      <c r="K378" s="41"/>
    </row>
    <row r="379" spans="1:11" s="5" customFormat="1" ht="38.25">
      <c r="A379" s="303" t="s">
        <v>497</v>
      </c>
      <c r="B379" s="287" t="s">
        <v>621</v>
      </c>
      <c r="C379" s="287" t="s">
        <v>621</v>
      </c>
      <c r="D379" s="287" t="s">
        <v>621</v>
      </c>
      <c r="E379" s="288"/>
      <c r="F379" s="12">
        <v>172359</v>
      </c>
      <c r="G379" s="287">
        <v>164923.9</v>
      </c>
      <c r="H379" s="288">
        <f>G379/F379</f>
        <v>0.9568627109695461</v>
      </c>
      <c r="I379" s="291"/>
      <c r="J379" s="292" t="s">
        <v>589</v>
      </c>
      <c r="K379" s="41"/>
    </row>
    <row r="380" spans="1:11" s="5" customFormat="1" ht="25.5">
      <c r="A380" s="21" t="s">
        <v>171</v>
      </c>
      <c r="B380" s="12"/>
      <c r="C380" s="12"/>
      <c r="D380" s="12"/>
      <c r="E380" s="13"/>
      <c r="F380" s="12"/>
      <c r="G380" s="12">
        <f>G379/G410</f>
        <v>0.019258335302783963</v>
      </c>
      <c r="H380" s="13"/>
      <c r="I380" s="637"/>
      <c r="J380" s="292"/>
      <c r="K380" s="41"/>
    </row>
    <row r="381" spans="1:11" s="5" customFormat="1" ht="12.75">
      <c r="A381" s="299" t="s">
        <v>590</v>
      </c>
      <c r="B381" s="461">
        <f>SUM(B373:B378)</f>
        <v>51590571</v>
      </c>
      <c r="C381" s="462">
        <f>SUM(C373:C378)</f>
        <v>51590577.17</v>
      </c>
      <c r="D381" s="310">
        <f>C381-B381</f>
        <v>6.170000001788139</v>
      </c>
      <c r="E381" s="13">
        <f>(E373+E374+E375+E376+E377+E378)/6</f>
        <v>1.0102833333333334</v>
      </c>
      <c r="F381" s="12">
        <f>SUM(F379:F379)</f>
        <v>172359</v>
      </c>
      <c r="G381" s="12">
        <f>SUM(G379:G379)</f>
        <v>164923.9</v>
      </c>
      <c r="H381" s="13">
        <f>G381/F381</f>
        <v>0.9568627109695461</v>
      </c>
      <c r="I381" s="13">
        <f>E381/H381</f>
        <v>1.0558289311009503</v>
      </c>
      <c r="J381" s="192"/>
      <c r="K381" s="41"/>
    </row>
    <row r="382" spans="1:11" s="5" customFormat="1" ht="12.75" customHeight="1">
      <c r="A382" s="815" t="s">
        <v>77</v>
      </c>
      <c r="B382" s="815"/>
      <c r="C382" s="815"/>
      <c r="D382" s="815"/>
      <c r="E382" s="815"/>
      <c r="F382" s="815"/>
      <c r="G382" s="815"/>
      <c r="H382" s="815"/>
      <c r="I382" s="815"/>
      <c r="J382" s="815"/>
      <c r="K382" s="41"/>
    </row>
    <row r="383" spans="1:11" s="5" customFormat="1" ht="12.75" customHeight="1">
      <c r="A383" s="303" t="s">
        <v>221</v>
      </c>
      <c r="B383" s="296">
        <v>23194</v>
      </c>
      <c r="C383" s="296">
        <v>23194</v>
      </c>
      <c r="D383" s="296">
        <f>C383-B383</f>
        <v>0</v>
      </c>
      <c r="E383" s="478">
        <f>C383/B383</f>
        <v>1</v>
      </c>
      <c r="F383" s="302"/>
      <c r="G383" s="302"/>
      <c r="H383" s="302"/>
      <c r="I383" s="32"/>
      <c r="J383" s="165"/>
      <c r="K383" s="41"/>
    </row>
    <row r="384" spans="1:11" s="5" customFormat="1" ht="38.25">
      <c r="A384" s="303" t="s">
        <v>222</v>
      </c>
      <c r="B384" s="296">
        <v>8640</v>
      </c>
      <c r="C384" s="296">
        <v>8640</v>
      </c>
      <c r="D384" s="296">
        <f aca="true" t="shared" si="18" ref="D384:D389">C384-B384</f>
        <v>0</v>
      </c>
      <c r="E384" s="478">
        <f aca="true" t="shared" si="19" ref="E384:E389">C384/B384</f>
        <v>1</v>
      </c>
      <c r="F384" s="302"/>
      <c r="G384" s="302"/>
      <c r="H384" s="302"/>
      <c r="I384" s="32"/>
      <c r="J384" s="165"/>
      <c r="K384" s="41"/>
    </row>
    <row r="385" spans="1:11" s="5" customFormat="1" ht="51">
      <c r="A385" s="303" t="s">
        <v>778</v>
      </c>
      <c r="B385" s="296">
        <v>3</v>
      </c>
      <c r="C385" s="296">
        <v>3</v>
      </c>
      <c r="D385" s="296">
        <f t="shared" si="18"/>
        <v>0</v>
      </c>
      <c r="E385" s="478">
        <f t="shared" si="19"/>
        <v>1</v>
      </c>
      <c r="F385" s="302"/>
      <c r="G385" s="302"/>
      <c r="H385" s="302"/>
      <c r="I385" s="32"/>
      <c r="J385" s="165"/>
      <c r="K385" s="41"/>
    </row>
    <row r="386" spans="1:11" s="5" customFormat="1" ht="38.25">
      <c r="A386" s="108" t="s">
        <v>112</v>
      </c>
      <c r="B386" s="296">
        <v>27</v>
      </c>
      <c r="C386" s="296">
        <v>27</v>
      </c>
      <c r="D386" s="296">
        <f t="shared" si="18"/>
        <v>0</v>
      </c>
      <c r="E386" s="478">
        <f t="shared" si="19"/>
        <v>1</v>
      </c>
      <c r="F386" s="302"/>
      <c r="G386" s="302"/>
      <c r="H386" s="302"/>
      <c r="I386" s="32"/>
      <c r="J386" s="165"/>
      <c r="K386" s="41"/>
    </row>
    <row r="387" spans="1:11" s="5" customFormat="1" ht="51">
      <c r="A387" s="303" t="s">
        <v>129</v>
      </c>
      <c r="B387" s="297">
        <v>94</v>
      </c>
      <c r="C387" s="297">
        <v>94</v>
      </c>
      <c r="D387" s="297">
        <f t="shared" si="18"/>
        <v>0</v>
      </c>
      <c r="E387" s="478">
        <f t="shared" si="19"/>
        <v>1</v>
      </c>
      <c r="F387" s="302"/>
      <c r="G387" s="302"/>
      <c r="H387" s="302"/>
      <c r="I387" s="32"/>
      <c r="J387" s="165"/>
      <c r="K387" s="41"/>
    </row>
    <row r="388" spans="1:11" s="5" customFormat="1" ht="63.75">
      <c r="A388" s="303" t="s">
        <v>223</v>
      </c>
      <c r="B388" s="297">
        <v>94</v>
      </c>
      <c r="C388" s="297">
        <v>94</v>
      </c>
      <c r="D388" s="297">
        <f t="shared" si="18"/>
        <v>0</v>
      </c>
      <c r="E388" s="478">
        <f t="shared" si="19"/>
        <v>1</v>
      </c>
      <c r="F388" s="302"/>
      <c r="G388" s="302"/>
      <c r="H388" s="302"/>
      <c r="I388" s="32"/>
      <c r="J388" s="165"/>
      <c r="K388" s="41"/>
    </row>
    <row r="389" spans="1:11" s="5" customFormat="1" ht="89.25">
      <c r="A389" s="303" t="s">
        <v>224</v>
      </c>
      <c r="B389" s="297">
        <v>1.93</v>
      </c>
      <c r="C389" s="297">
        <v>1.93</v>
      </c>
      <c r="D389" s="297">
        <f t="shared" si="18"/>
        <v>0</v>
      </c>
      <c r="E389" s="478">
        <f t="shared" si="19"/>
        <v>1</v>
      </c>
      <c r="F389" s="302"/>
      <c r="G389" s="302"/>
      <c r="H389" s="302"/>
      <c r="I389" s="13"/>
      <c r="J389" s="223"/>
      <c r="K389" s="41"/>
    </row>
    <row r="390" spans="1:11" s="5" customFormat="1" ht="89.25">
      <c r="A390" s="303" t="s">
        <v>225</v>
      </c>
      <c r="B390" s="297">
        <v>98.07</v>
      </c>
      <c r="C390" s="297">
        <v>98.07</v>
      </c>
      <c r="D390" s="297">
        <f>C390-B390</f>
        <v>0</v>
      </c>
      <c r="E390" s="478">
        <f>C390/B390</f>
        <v>1</v>
      </c>
      <c r="F390" s="302"/>
      <c r="G390" s="302"/>
      <c r="H390" s="302"/>
      <c r="I390" s="13"/>
      <c r="J390" s="223"/>
      <c r="K390" s="41"/>
    </row>
    <row r="391" spans="1:11" s="5" customFormat="1" ht="38.25">
      <c r="A391" s="118" t="s">
        <v>498</v>
      </c>
      <c r="B391" s="118"/>
      <c r="C391" s="118"/>
      <c r="D391" s="293"/>
      <c r="E391" s="288"/>
      <c r="F391" s="300">
        <v>95000</v>
      </c>
      <c r="G391" s="300">
        <v>48950</v>
      </c>
      <c r="H391" s="479">
        <f>G391/F391</f>
        <v>0.5152631578947369</v>
      </c>
      <c r="I391" s="288"/>
      <c r="J391" s="118" t="s">
        <v>591</v>
      </c>
      <c r="K391" s="41"/>
    </row>
    <row r="392" spans="1:11" s="5" customFormat="1" ht="56.25" customHeight="1">
      <c r="A392" s="118" t="s">
        <v>499</v>
      </c>
      <c r="B392" s="118"/>
      <c r="C392" s="118"/>
      <c r="D392" s="293"/>
      <c r="E392" s="288"/>
      <c r="F392" s="300">
        <v>1193830.42</v>
      </c>
      <c r="G392" s="300">
        <v>1193830.42</v>
      </c>
      <c r="H392" s="479">
        <f>G392/F392</f>
        <v>1</v>
      </c>
      <c r="I392" s="288"/>
      <c r="J392" s="294"/>
      <c r="K392" s="41"/>
    </row>
    <row r="393" spans="1:11" s="5" customFormat="1" ht="102">
      <c r="A393" s="118" t="s">
        <v>516</v>
      </c>
      <c r="B393" s="118"/>
      <c r="C393" s="118"/>
      <c r="D393" s="293"/>
      <c r="E393" s="288"/>
      <c r="F393" s="287">
        <v>197400</v>
      </c>
      <c r="G393" s="287">
        <v>197400</v>
      </c>
      <c r="H393" s="288">
        <f>G393/F393</f>
        <v>1</v>
      </c>
      <c r="I393" s="288"/>
      <c r="J393" s="118"/>
      <c r="K393" s="41"/>
    </row>
    <row r="394" spans="1:11" s="5" customFormat="1" ht="25.5">
      <c r="A394" s="67" t="s">
        <v>172</v>
      </c>
      <c r="B394" s="67"/>
      <c r="C394" s="67"/>
      <c r="D394" s="293"/>
      <c r="E394" s="288"/>
      <c r="F394" s="12"/>
      <c r="G394" s="12">
        <f>G395/G410</f>
        <v>0.16817136524702747</v>
      </c>
      <c r="H394" s="288"/>
      <c r="I394" s="13"/>
      <c r="J394" s="67"/>
      <c r="K394" s="41"/>
    </row>
    <row r="395" spans="1:11" s="5" customFormat="1" ht="12.75">
      <c r="A395" s="497" t="s">
        <v>592</v>
      </c>
      <c r="B395" s="310">
        <f>SUM(B383:B393)</f>
        <v>32152</v>
      </c>
      <c r="C395" s="310">
        <f>SUM(C383:C393)</f>
        <v>32152</v>
      </c>
      <c r="D395" s="287">
        <f>C395-B395</f>
        <v>0</v>
      </c>
      <c r="E395" s="287">
        <f>SUM(E383:E390)/8</f>
        <v>1</v>
      </c>
      <c r="F395" s="310">
        <f>SUM(F391:F393)</f>
        <v>1486230.42</v>
      </c>
      <c r="G395" s="310">
        <f>SUM(G383:G393)</f>
        <v>1440180.42</v>
      </c>
      <c r="H395" s="288">
        <f>(H391+H392+H393)/3</f>
        <v>0.838421052631579</v>
      </c>
      <c r="I395" s="13">
        <f>E395/H395</f>
        <v>1.1927181418706843</v>
      </c>
      <c r="J395" s="67"/>
      <c r="K395" s="41"/>
    </row>
    <row r="396" spans="1:11" s="5" customFormat="1" ht="12.75">
      <c r="A396" s="815" t="s">
        <v>593</v>
      </c>
      <c r="B396" s="815"/>
      <c r="C396" s="815"/>
      <c r="D396" s="815"/>
      <c r="E396" s="815"/>
      <c r="F396" s="815"/>
      <c r="G396" s="815"/>
      <c r="H396" s="815"/>
      <c r="I396" s="815"/>
      <c r="J396" s="815"/>
      <c r="K396" s="41"/>
    </row>
    <row r="397" spans="1:11" s="5" customFormat="1" ht="25.5">
      <c r="A397" s="67" t="s">
        <v>468</v>
      </c>
      <c r="B397" s="8">
        <v>20</v>
      </c>
      <c r="C397" s="8">
        <v>20</v>
      </c>
      <c r="D397" s="8">
        <f>C397-B397</f>
        <v>0</v>
      </c>
      <c r="E397" s="13">
        <f>C397/B397</f>
        <v>1</v>
      </c>
      <c r="F397" s="16"/>
      <c r="G397" s="16"/>
      <c r="H397" s="12"/>
      <c r="I397" s="13"/>
      <c r="J397" s="223"/>
      <c r="K397" s="41"/>
    </row>
    <row r="398" spans="1:11" s="5" customFormat="1" ht="38.25">
      <c r="A398" s="118" t="s">
        <v>122</v>
      </c>
      <c r="B398" s="120">
        <v>67.9</v>
      </c>
      <c r="C398" s="120">
        <v>67.9</v>
      </c>
      <c r="D398" s="120">
        <f>C398-B398</f>
        <v>0</v>
      </c>
      <c r="E398" s="288">
        <f>C398/B398</f>
        <v>1</v>
      </c>
      <c r="F398" s="120"/>
      <c r="G398" s="120"/>
      <c r="H398" s="120"/>
      <c r="I398" s="120"/>
      <c r="J398" s="292"/>
      <c r="K398" s="41"/>
    </row>
    <row r="399" spans="1:12" s="5" customFormat="1" ht="342" customHeight="1">
      <c r="A399" s="118" t="s">
        <v>517</v>
      </c>
      <c r="B399" s="118"/>
      <c r="C399" s="118"/>
      <c r="D399" s="293"/>
      <c r="E399" s="288"/>
      <c r="F399" s="287">
        <v>7769234.25</v>
      </c>
      <c r="G399" s="287">
        <v>6958662.87</v>
      </c>
      <c r="H399" s="288">
        <f>G399/F399</f>
        <v>0.8956690770393492</v>
      </c>
      <c r="I399" s="288"/>
      <c r="J399" s="843" t="s">
        <v>518</v>
      </c>
      <c r="K399" s="41"/>
      <c r="L399" s="762"/>
    </row>
    <row r="400" spans="1:11" s="5" customFormat="1" ht="25.5">
      <c r="A400" s="67" t="s">
        <v>173</v>
      </c>
      <c r="B400" s="67"/>
      <c r="C400" s="67"/>
      <c r="D400" s="639"/>
      <c r="E400" s="13"/>
      <c r="F400" s="12"/>
      <c r="G400" s="12">
        <f>G401/G410</f>
        <v>0.8125702994501887</v>
      </c>
      <c r="H400" s="13"/>
      <c r="I400" s="13"/>
      <c r="J400" s="738"/>
      <c r="K400" s="41"/>
    </row>
    <row r="401" spans="1:11" s="5" customFormat="1" ht="12.75">
      <c r="A401" s="497" t="s">
        <v>470</v>
      </c>
      <c r="B401" s="652">
        <f>B397+B398</f>
        <v>87.9</v>
      </c>
      <c r="C401" s="652">
        <f>C397+C398</f>
        <v>87.9</v>
      </c>
      <c r="D401" s="653">
        <f>C401-B401</f>
        <v>0</v>
      </c>
      <c r="E401" s="17">
        <f>C401/B401</f>
        <v>1</v>
      </c>
      <c r="F401" s="562">
        <f>SUM(F398:F399)</f>
        <v>7769234.25</v>
      </c>
      <c r="G401" s="562">
        <f>SUM(G398:G399)</f>
        <v>6958662.87</v>
      </c>
      <c r="H401" s="17">
        <f>H399</f>
        <v>0.8956690770393492</v>
      </c>
      <c r="I401" s="17">
        <f>E401/H401</f>
        <v>1.1164837836151702</v>
      </c>
      <c r="J401" s="192"/>
      <c r="K401" s="41"/>
    </row>
    <row r="402" spans="1:11" s="5" customFormat="1" ht="12.75">
      <c r="A402" s="822" t="s">
        <v>211</v>
      </c>
      <c r="B402" s="822"/>
      <c r="C402" s="822"/>
      <c r="D402" s="822"/>
      <c r="E402" s="822"/>
      <c r="F402" s="822"/>
      <c r="G402" s="822"/>
      <c r="H402" s="822"/>
      <c r="I402" s="822"/>
      <c r="J402" s="822"/>
      <c r="K402" s="41"/>
    </row>
    <row r="403" spans="1:11" s="5" customFormat="1" ht="51">
      <c r="A403" s="303" t="s">
        <v>123</v>
      </c>
      <c r="B403" s="301">
        <v>231848</v>
      </c>
      <c r="C403" s="301">
        <v>231848</v>
      </c>
      <c r="D403" s="300">
        <f aca="true" t="shared" si="20" ref="D403:D410">C403-B403</f>
        <v>0</v>
      </c>
      <c r="E403" s="479">
        <f aca="true" t="shared" si="21" ref="E403:E408">C403/B403</f>
        <v>1</v>
      </c>
      <c r="F403" s="120"/>
      <c r="G403" s="120"/>
      <c r="H403" s="120"/>
      <c r="I403" s="120"/>
      <c r="J403" s="118"/>
      <c r="K403" s="41"/>
    </row>
    <row r="404" spans="1:11" s="5" customFormat="1" ht="76.5">
      <c r="A404" s="303" t="s">
        <v>212</v>
      </c>
      <c r="B404" s="301">
        <v>100000</v>
      </c>
      <c r="C404" s="301">
        <v>100000</v>
      </c>
      <c r="D404" s="300">
        <f t="shared" si="20"/>
        <v>0</v>
      </c>
      <c r="E404" s="479">
        <f t="shared" si="21"/>
        <v>1</v>
      </c>
      <c r="F404" s="120"/>
      <c r="G404" s="120"/>
      <c r="H404" s="120"/>
      <c r="I404" s="120"/>
      <c r="J404" s="118"/>
      <c r="K404" s="41"/>
    </row>
    <row r="405" spans="1:11" s="5" customFormat="1" ht="38.25">
      <c r="A405" s="303" t="s">
        <v>37</v>
      </c>
      <c r="B405" s="300">
        <v>100</v>
      </c>
      <c r="C405" s="300">
        <v>100</v>
      </c>
      <c r="D405" s="300">
        <f t="shared" si="20"/>
        <v>0</v>
      </c>
      <c r="E405" s="479">
        <f t="shared" si="21"/>
        <v>1</v>
      </c>
      <c r="F405" s="287"/>
      <c r="G405" s="287"/>
      <c r="H405" s="287"/>
      <c r="I405" s="287"/>
      <c r="J405" s="118"/>
      <c r="K405" s="41"/>
    </row>
    <row r="406" spans="1:11" s="5" customFormat="1" ht="51">
      <c r="A406" s="303" t="s">
        <v>213</v>
      </c>
      <c r="B406" s="300">
        <v>100</v>
      </c>
      <c r="C406" s="300">
        <v>100</v>
      </c>
      <c r="D406" s="300">
        <f t="shared" si="20"/>
        <v>0</v>
      </c>
      <c r="E406" s="479">
        <f t="shared" si="21"/>
        <v>1</v>
      </c>
      <c r="F406" s="287"/>
      <c r="G406" s="287"/>
      <c r="H406" s="287"/>
      <c r="I406" s="287"/>
      <c r="J406" s="118"/>
      <c r="K406" s="41"/>
    </row>
    <row r="407" spans="1:11" s="5" customFormat="1" ht="38.25">
      <c r="A407" s="303" t="s">
        <v>251</v>
      </c>
      <c r="B407" s="300">
        <v>50</v>
      </c>
      <c r="C407" s="300">
        <v>50</v>
      </c>
      <c r="D407" s="300">
        <f t="shared" si="20"/>
        <v>0</v>
      </c>
      <c r="E407" s="479">
        <f t="shared" si="21"/>
        <v>1</v>
      </c>
      <c r="F407" s="120"/>
      <c r="G407" s="120"/>
      <c r="H407" s="120"/>
      <c r="I407" s="120"/>
      <c r="J407" s="118"/>
      <c r="K407" s="41"/>
    </row>
    <row r="408" spans="1:11" s="5" customFormat="1" ht="63.75">
      <c r="A408" s="21" t="s">
        <v>214</v>
      </c>
      <c r="B408" s="96">
        <v>50</v>
      </c>
      <c r="C408" s="96">
        <v>50</v>
      </c>
      <c r="D408" s="96">
        <f t="shared" si="20"/>
        <v>0</v>
      </c>
      <c r="E408" s="638">
        <f t="shared" si="21"/>
        <v>1</v>
      </c>
      <c r="F408" s="8"/>
      <c r="G408" s="8"/>
      <c r="H408" s="8"/>
      <c r="I408" s="8"/>
      <c r="J408" s="67"/>
      <c r="K408" s="41"/>
    </row>
    <row r="409" spans="1:11" s="5" customFormat="1" ht="12.75">
      <c r="A409" s="21" t="s">
        <v>72</v>
      </c>
      <c r="B409" s="96">
        <f>SUM(B403:B408)</f>
        <v>332148</v>
      </c>
      <c r="C409" s="96">
        <f>SUM(C403:C408)</f>
        <v>332148</v>
      </c>
      <c r="D409" s="96">
        <f t="shared" si="20"/>
        <v>0</v>
      </c>
      <c r="E409" s="638">
        <f>SUM(E403:E408)/6</f>
        <v>1</v>
      </c>
      <c r="F409" s="8"/>
      <c r="G409" s="8"/>
      <c r="H409" s="8"/>
      <c r="I409" s="8"/>
      <c r="J409" s="67"/>
      <c r="K409" s="41"/>
    </row>
    <row r="410" spans="1:11" s="5" customFormat="1" ht="12.75">
      <c r="A410" s="398" t="s">
        <v>297</v>
      </c>
      <c r="B410" s="649">
        <f>B381+B395+B401+B409</f>
        <v>51954958.9</v>
      </c>
      <c r="C410" s="650">
        <f>C381+C395+C401+C409</f>
        <v>51954965.07</v>
      </c>
      <c r="D410" s="373">
        <f t="shared" si="20"/>
        <v>6.170000001788139</v>
      </c>
      <c r="E410" s="374">
        <f>(E381+E395+E401+E409)/4</f>
        <v>1.0025708333333334</v>
      </c>
      <c r="F410" s="373">
        <f>F381+F395+F401</f>
        <v>9427823.67</v>
      </c>
      <c r="G410" s="373">
        <f>G381+G395+G401</f>
        <v>8563767.19</v>
      </c>
      <c r="H410" s="374">
        <f>(H381+H395+H401)/3</f>
        <v>0.8969842802134913</v>
      </c>
      <c r="I410" s="374">
        <f>E410/H410</f>
        <v>1.1177128244596566</v>
      </c>
      <c r="J410" s="410"/>
      <c r="K410" s="41"/>
    </row>
    <row r="411" spans="1:11" s="5" customFormat="1" ht="12.75" customHeight="1">
      <c r="A411" s="823" t="s">
        <v>206</v>
      </c>
      <c r="B411" s="823"/>
      <c r="C411" s="823"/>
      <c r="D411" s="823"/>
      <c r="E411" s="823"/>
      <c r="F411" s="823"/>
      <c r="G411" s="823"/>
      <c r="H411" s="823"/>
      <c r="I411" s="823"/>
      <c r="J411" s="823"/>
      <c r="K411" s="41"/>
    </row>
    <row r="412" spans="1:10" s="41" customFormat="1" ht="12.75">
      <c r="A412" s="811" t="s">
        <v>275</v>
      </c>
      <c r="B412" s="811"/>
      <c r="C412" s="811"/>
      <c r="D412" s="811"/>
      <c r="E412" s="811"/>
      <c r="F412" s="811"/>
      <c r="G412" s="811"/>
      <c r="H412" s="811"/>
      <c r="I412" s="811"/>
      <c r="J412" s="192"/>
    </row>
    <row r="413" spans="1:11" s="5" customFormat="1" ht="12.75" customHeight="1">
      <c r="A413" s="21" t="s">
        <v>276</v>
      </c>
      <c r="B413" s="241"/>
      <c r="C413" s="241"/>
      <c r="D413" s="241"/>
      <c r="E413" s="242"/>
      <c r="F413" s="212">
        <v>35562820.73</v>
      </c>
      <c r="G413" s="212">
        <v>35554626.59</v>
      </c>
      <c r="H413" s="243">
        <f>G413/F413</f>
        <v>0.9997695868935087</v>
      </c>
      <c r="I413" s="241"/>
      <c r="J413" s="244"/>
      <c r="K413" s="41"/>
    </row>
    <row r="414" spans="1:11" s="5" customFormat="1" ht="25.5">
      <c r="A414" s="21" t="s">
        <v>515</v>
      </c>
      <c r="B414" s="249">
        <v>16</v>
      </c>
      <c r="C414" s="249">
        <v>16</v>
      </c>
      <c r="D414" s="249">
        <f>SUM(C414-B414)</f>
        <v>0</v>
      </c>
      <c r="E414" s="243">
        <f>SUM(C414/B414)</f>
        <v>1</v>
      </c>
      <c r="F414" s="212"/>
      <c r="G414" s="212"/>
      <c r="H414" s="212"/>
      <c r="I414" s="241"/>
      <c r="J414" s="244"/>
      <c r="K414" s="41"/>
    </row>
    <row r="415" spans="1:11" s="5" customFormat="1" ht="12.75">
      <c r="A415" s="21" t="s">
        <v>772</v>
      </c>
      <c r="B415" s="249">
        <v>369744.7</v>
      </c>
      <c r="C415" s="249">
        <v>369744.7</v>
      </c>
      <c r="D415" s="249">
        <f>SUM(C415-B415)</f>
        <v>0</v>
      </c>
      <c r="E415" s="243">
        <f>SUM(C415/B415)</f>
        <v>1</v>
      </c>
      <c r="F415" s="212"/>
      <c r="G415" s="212"/>
      <c r="H415" s="212"/>
      <c r="I415" s="241"/>
      <c r="J415" s="244"/>
      <c r="K415" s="41"/>
    </row>
    <row r="416" spans="1:11" s="5" customFormat="1" ht="12.75">
      <c r="A416" s="21" t="s">
        <v>773</v>
      </c>
      <c r="B416" s="249">
        <v>388258.5</v>
      </c>
      <c r="C416" s="249">
        <v>388258.5</v>
      </c>
      <c r="D416" s="249">
        <f>SUM(C416-B416)</f>
        <v>0</v>
      </c>
      <c r="E416" s="243">
        <f>SUM(C416/B416)</f>
        <v>1</v>
      </c>
      <c r="F416" s="212"/>
      <c r="G416" s="212"/>
      <c r="H416" s="212"/>
      <c r="I416" s="241"/>
      <c r="J416" s="244"/>
      <c r="K416" s="41"/>
    </row>
    <row r="417" spans="1:11" s="5" customFormat="1" ht="24">
      <c r="A417" s="26" t="s">
        <v>429</v>
      </c>
      <c r="B417" s="212"/>
      <c r="C417" s="212"/>
      <c r="D417" s="212"/>
      <c r="E417" s="245"/>
      <c r="F417" s="212">
        <v>84394934.88</v>
      </c>
      <c r="G417" s="212">
        <v>78387568.5</v>
      </c>
      <c r="H417" s="243">
        <f>G417/F417</f>
        <v>0.9288184013822419</v>
      </c>
      <c r="I417" s="246"/>
      <c r="J417" s="221" t="s">
        <v>770</v>
      </c>
      <c r="K417" s="41"/>
    </row>
    <row r="418" spans="1:11" s="5" customFormat="1" ht="25.5">
      <c r="A418" s="247" t="s">
        <v>642</v>
      </c>
      <c r="B418" s="500">
        <v>20.325</v>
      </c>
      <c r="C418" s="500">
        <v>20.325</v>
      </c>
      <c r="D418" s="212">
        <f>C418-B418</f>
        <v>0</v>
      </c>
      <c r="E418" s="245">
        <f>C418/B418</f>
        <v>1</v>
      </c>
      <c r="F418" s="212"/>
      <c r="G418" s="212"/>
      <c r="H418" s="212"/>
      <c r="I418" s="241"/>
      <c r="J418" s="244"/>
      <c r="K418" s="41"/>
    </row>
    <row r="419" spans="1:11" s="5" customFormat="1" ht="12.75">
      <c r="A419" s="247" t="s">
        <v>538</v>
      </c>
      <c r="B419" s="248">
        <v>22776</v>
      </c>
      <c r="C419" s="248">
        <v>22776</v>
      </c>
      <c r="D419" s="212">
        <f>C419-B419</f>
        <v>0</v>
      </c>
      <c r="E419" s="245">
        <f>C419/B419</f>
        <v>1</v>
      </c>
      <c r="F419" s="212"/>
      <c r="G419" s="212"/>
      <c r="H419" s="212"/>
      <c r="I419" s="241"/>
      <c r="J419" s="244"/>
      <c r="K419" s="41"/>
    </row>
    <row r="420" spans="1:11" s="5" customFormat="1" ht="12.75">
      <c r="A420" s="247" t="s">
        <v>643</v>
      </c>
      <c r="B420" s="248">
        <v>25</v>
      </c>
      <c r="C420" s="248">
        <v>25</v>
      </c>
      <c r="D420" s="212">
        <f>C420-B420</f>
        <v>0</v>
      </c>
      <c r="E420" s="245">
        <f>C420/B420</f>
        <v>1</v>
      </c>
      <c r="F420" s="212"/>
      <c r="G420" s="212"/>
      <c r="H420" s="212"/>
      <c r="I420" s="241"/>
      <c r="J420" s="244"/>
      <c r="K420" s="41"/>
    </row>
    <row r="421" spans="1:11" s="5" customFormat="1" ht="25.5">
      <c r="A421" s="247" t="s">
        <v>774</v>
      </c>
      <c r="B421" s="248">
        <v>465.5</v>
      </c>
      <c r="C421" s="248">
        <v>465.5</v>
      </c>
      <c r="D421" s="212">
        <f>C421-B421</f>
        <v>0</v>
      </c>
      <c r="E421" s="245">
        <f>C421/B421</f>
        <v>1</v>
      </c>
      <c r="F421" s="212"/>
      <c r="G421" s="212"/>
      <c r="H421" s="212"/>
      <c r="I421" s="241"/>
      <c r="J421" s="244"/>
      <c r="K421" s="41"/>
    </row>
    <row r="422" spans="1:11" s="5" customFormat="1" ht="15.75">
      <c r="A422" s="252" t="s">
        <v>416</v>
      </c>
      <c r="B422" s="253">
        <v>1804.2</v>
      </c>
      <c r="C422" s="253">
        <v>1804.2</v>
      </c>
      <c r="D422" s="212">
        <f>C422-B422</f>
        <v>0</v>
      </c>
      <c r="E422" s="272">
        <f>C422/B422</f>
        <v>1</v>
      </c>
      <c r="F422" s="246"/>
      <c r="G422" s="246"/>
      <c r="H422" s="246"/>
      <c r="I422" s="246"/>
      <c r="J422" s="250"/>
      <c r="K422" s="41"/>
    </row>
    <row r="423" spans="1:11" s="5" customFormat="1" ht="38.25">
      <c r="A423" s="256" t="s">
        <v>322</v>
      </c>
      <c r="B423" s="254"/>
      <c r="C423" s="254"/>
      <c r="D423" s="269"/>
      <c r="E423" s="272"/>
      <c r="F423" s="618">
        <v>1039957.07</v>
      </c>
      <c r="G423" s="618">
        <v>1039956.94</v>
      </c>
      <c r="H423" s="262">
        <f>G423/F423</f>
        <v>0.9999998749948399</v>
      </c>
      <c r="I423" s="254"/>
      <c r="J423" s="255"/>
      <c r="K423" s="41"/>
    </row>
    <row r="424" spans="1:11" s="5" customFormat="1" ht="25.5">
      <c r="A424" s="257" t="s">
        <v>24</v>
      </c>
      <c r="B424" s="619">
        <v>299</v>
      </c>
      <c r="C424" s="619">
        <v>299</v>
      </c>
      <c r="D424" s="269">
        <f>C424-B424</f>
        <v>0</v>
      </c>
      <c r="E424" s="272">
        <f>C424/B424</f>
        <v>1</v>
      </c>
      <c r="F424" s="618"/>
      <c r="G424" s="618"/>
      <c r="H424" s="262"/>
      <c r="I424" s="254"/>
      <c r="J424" s="255"/>
      <c r="K424" s="41"/>
    </row>
    <row r="425" spans="1:11" s="5" customFormat="1" ht="12.75">
      <c r="A425" s="257" t="s">
        <v>25</v>
      </c>
      <c r="B425" s="619">
        <v>211.3</v>
      </c>
      <c r="C425" s="619">
        <v>211.3</v>
      </c>
      <c r="D425" s="269">
        <f>C425-B425</f>
        <v>0</v>
      </c>
      <c r="E425" s="272">
        <f>C425/B425</f>
        <v>1</v>
      </c>
      <c r="F425" s="618"/>
      <c r="G425" s="618"/>
      <c r="H425" s="262"/>
      <c r="I425" s="254"/>
      <c r="J425" s="255"/>
      <c r="K425" s="41"/>
    </row>
    <row r="426" spans="1:11" s="5" customFormat="1" ht="25.5">
      <c r="A426" s="257" t="s">
        <v>426</v>
      </c>
      <c r="B426" s="618"/>
      <c r="C426" s="618"/>
      <c r="D426" s="269"/>
      <c r="E426" s="272"/>
      <c r="F426" s="618">
        <v>9945114.29</v>
      </c>
      <c r="G426" s="618">
        <v>9340041.4</v>
      </c>
      <c r="H426" s="622">
        <f>G426/F426</f>
        <v>0.9391587796423405</v>
      </c>
      <c r="I426" s="254"/>
      <c r="J426" s="255" t="s">
        <v>323</v>
      </c>
      <c r="K426" s="41"/>
    </row>
    <row r="427" spans="1:11" s="5" customFormat="1" ht="25.5">
      <c r="A427" s="258" t="s">
        <v>23</v>
      </c>
      <c r="B427" s="620">
        <v>118.553</v>
      </c>
      <c r="C427" s="620">
        <v>118.553</v>
      </c>
      <c r="D427" s="269">
        <f>C427-B427</f>
        <v>0</v>
      </c>
      <c r="E427" s="272">
        <f>C427/B427</f>
        <v>1</v>
      </c>
      <c r="F427" s="618"/>
      <c r="G427" s="618"/>
      <c r="H427" s="622"/>
      <c r="I427" s="254"/>
      <c r="J427" s="255"/>
      <c r="K427" s="41"/>
    </row>
    <row r="428" spans="1:11" s="5" customFormat="1" ht="15.75">
      <c r="A428" s="256" t="s">
        <v>427</v>
      </c>
      <c r="B428" s="618"/>
      <c r="C428" s="618"/>
      <c r="D428" s="269"/>
      <c r="E428" s="272"/>
      <c r="F428" s="618">
        <v>7640035.1</v>
      </c>
      <c r="G428" s="618">
        <v>7640035.1</v>
      </c>
      <c r="H428" s="622">
        <f>G428/F428</f>
        <v>1</v>
      </c>
      <c r="I428" s="254"/>
      <c r="J428" s="250"/>
      <c r="K428" s="41"/>
    </row>
    <row r="429" spans="1:11" s="6" customFormat="1" ht="15" customHeight="1">
      <c r="A429" s="256" t="s">
        <v>26</v>
      </c>
      <c r="B429" s="618">
        <v>99552</v>
      </c>
      <c r="C429" s="621">
        <v>99552</v>
      </c>
      <c r="D429" s="269">
        <f>C429-B429</f>
        <v>0</v>
      </c>
      <c r="E429" s="272">
        <f>C429/B429</f>
        <v>1</v>
      </c>
      <c r="F429" s="254"/>
      <c r="G429" s="254"/>
      <c r="H429" s="622"/>
      <c r="I429" s="254"/>
      <c r="J429" s="250"/>
      <c r="K429" s="264"/>
    </row>
    <row r="430" spans="1:11" s="6" customFormat="1" ht="26.25" customHeight="1">
      <c r="A430" s="256" t="s">
        <v>776</v>
      </c>
      <c r="B430" s="618">
        <v>18439.9</v>
      </c>
      <c r="C430" s="618">
        <v>18439.9</v>
      </c>
      <c r="D430" s="269">
        <f>C430-B430</f>
        <v>0</v>
      </c>
      <c r="E430" s="272">
        <f>C430/B430</f>
        <v>1</v>
      </c>
      <c r="F430" s="254"/>
      <c r="G430" s="254"/>
      <c r="H430" s="622"/>
      <c r="I430" s="254"/>
      <c r="J430" s="250"/>
      <c r="K430" s="264"/>
    </row>
    <row r="431" spans="1:11" s="6" customFormat="1" ht="26.25" customHeight="1">
      <c r="A431" s="256" t="s">
        <v>96</v>
      </c>
      <c r="B431" s="618">
        <v>2613</v>
      </c>
      <c r="C431" s="618">
        <v>2613</v>
      </c>
      <c r="D431" s="269">
        <f>C431-B431</f>
        <v>0</v>
      </c>
      <c r="E431" s="272">
        <f>C431/B431</f>
        <v>1</v>
      </c>
      <c r="F431" s="254"/>
      <c r="G431" s="254"/>
      <c r="H431" s="622"/>
      <c r="I431" s="254"/>
      <c r="J431" s="250"/>
      <c r="K431" s="264"/>
    </row>
    <row r="432" spans="1:11" s="5" customFormat="1" ht="25.5">
      <c r="A432" s="256" t="s">
        <v>388</v>
      </c>
      <c r="B432" s="618">
        <v>1937.7</v>
      </c>
      <c r="C432" s="621">
        <v>1937.7</v>
      </c>
      <c r="D432" s="269">
        <f>C432-B432</f>
        <v>0</v>
      </c>
      <c r="E432" s="272">
        <f>C432/B432</f>
        <v>1</v>
      </c>
      <c r="F432" s="254"/>
      <c r="G432" s="254"/>
      <c r="H432" s="622"/>
      <c r="I432" s="254"/>
      <c r="J432" s="250"/>
      <c r="K432" s="41"/>
    </row>
    <row r="433" spans="1:11" s="5" customFormat="1" ht="25.5">
      <c r="A433" s="256" t="s">
        <v>428</v>
      </c>
      <c r="B433" s="254"/>
      <c r="C433" s="254"/>
      <c r="D433" s="269"/>
      <c r="E433" s="272"/>
      <c r="F433" s="618">
        <v>27786734.36</v>
      </c>
      <c r="G433" s="618">
        <v>27755500.41</v>
      </c>
      <c r="H433" s="618">
        <f>G433/F433</f>
        <v>0.9988759402384124</v>
      </c>
      <c r="I433" s="254"/>
      <c r="J433" s="250"/>
      <c r="K433" s="41"/>
    </row>
    <row r="434" spans="1:11" s="5" customFormat="1" ht="25.5">
      <c r="A434" s="256" t="s">
        <v>389</v>
      </c>
      <c r="B434" s="618">
        <v>1441.2</v>
      </c>
      <c r="C434" s="621">
        <v>1441.2</v>
      </c>
      <c r="D434" s="269">
        <f aca="true" t="shared" si="22" ref="D434:D441">C434-B434</f>
        <v>0</v>
      </c>
      <c r="E434" s="272">
        <f aca="true" t="shared" si="23" ref="E434:E441">C434/B434</f>
        <v>1</v>
      </c>
      <c r="F434" s="254"/>
      <c r="G434" s="254"/>
      <c r="H434" s="262"/>
      <c r="I434" s="254"/>
      <c r="J434" s="250"/>
      <c r="K434" s="41"/>
    </row>
    <row r="435" spans="1:11" s="5" customFormat="1" ht="25.5">
      <c r="A435" s="256" t="s">
        <v>268</v>
      </c>
      <c r="B435" s="618">
        <v>25.93</v>
      </c>
      <c r="C435" s="618">
        <v>25.93</v>
      </c>
      <c r="D435" s="269">
        <f t="shared" si="22"/>
        <v>0</v>
      </c>
      <c r="E435" s="272">
        <f t="shared" si="23"/>
        <v>1</v>
      </c>
      <c r="F435" s="254"/>
      <c r="G435" s="254"/>
      <c r="H435" s="262"/>
      <c r="I435" s="254"/>
      <c r="J435" s="250"/>
      <c r="K435" s="41"/>
    </row>
    <row r="436" spans="1:11" s="5" customFormat="1" ht="25.5">
      <c r="A436" s="256" t="s">
        <v>324</v>
      </c>
      <c r="B436" s="618">
        <v>7</v>
      </c>
      <c r="C436" s="618">
        <v>7</v>
      </c>
      <c r="D436" s="269">
        <f t="shared" si="22"/>
        <v>0</v>
      </c>
      <c r="E436" s="272">
        <f t="shared" si="23"/>
        <v>1</v>
      </c>
      <c r="F436" s="254"/>
      <c r="G436" s="254"/>
      <c r="H436" s="262"/>
      <c r="I436" s="254"/>
      <c r="J436" s="250"/>
      <c r="K436" s="41"/>
    </row>
    <row r="437" spans="1:11" s="5" customFormat="1" ht="25.5">
      <c r="A437" s="256" t="s">
        <v>511</v>
      </c>
      <c r="B437" s="618">
        <v>1</v>
      </c>
      <c r="C437" s="618">
        <v>1</v>
      </c>
      <c r="D437" s="269">
        <f>C437-B437</f>
        <v>0</v>
      </c>
      <c r="E437" s="272">
        <f>C437/B437</f>
        <v>1</v>
      </c>
      <c r="F437" s="254"/>
      <c r="G437" s="254"/>
      <c r="H437" s="262"/>
      <c r="I437" s="254"/>
      <c r="J437" s="250"/>
      <c r="K437" s="41"/>
    </row>
    <row r="438" spans="1:11" s="5" customFormat="1" ht="51">
      <c r="A438" s="256" t="s">
        <v>512</v>
      </c>
      <c r="B438" s="618">
        <v>3110</v>
      </c>
      <c r="C438" s="618">
        <v>3110</v>
      </c>
      <c r="D438" s="623">
        <f t="shared" si="22"/>
        <v>0</v>
      </c>
      <c r="E438" s="356">
        <f t="shared" si="23"/>
        <v>1</v>
      </c>
      <c r="F438" s="254"/>
      <c r="G438" s="254"/>
      <c r="H438" s="262"/>
      <c r="I438" s="254"/>
      <c r="J438" s="250"/>
      <c r="K438" s="41"/>
    </row>
    <row r="439" spans="1:11" s="5" customFormat="1" ht="25.5">
      <c r="A439" s="256" t="s">
        <v>513</v>
      </c>
      <c r="B439" s="618">
        <v>1</v>
      </c>
      <c r="C439" s="618">
        <v>1</v>
      </c>
      <c r="D439" s="623">
        <f t="shared" si="22"/>
        <v>0</v>
      </c>
      <c r="E439" s="356">
        <f t="shared" si="23"/>
        <v>1</v>
      </c>
      <c r="F439" s="254"/>
      <c r="G439" s="254"/>
      <c r="H439" s="262"/>
      <c r="I439" s="254"/>
      <c r="J439" s="250"/>
      <c r="K439" s="41"/>
    </row>
    <row r="440" spans="1:11" s="5" customFormat="1" ht="25.5">
      <c r="A440" s="256" t="s">
        <v>177</v>
      </c>
      <c r="B440" s="618">
        <v>201</v>
      </c>
      <c r="C440" s="618">
        <v>201</v>
      </c>
      <c r="D440" s="623">
        <f t="shared" si="22"/>
        <v>0</v>
      </c>
      <c r="E440" s="356">
        <f t="shared" si="23"/>
        <v>1</v>
      </c>
      <c r="F440" s="254"/>
      <c r="G440" s="254"/>
      <c r="H440" s="262"/>
      <c r="I440" s="254"/>
      <c r="J440" s="250"/>
      <c r="K440" s="41"/>
    </row>
    <row r="441" spans="1:11" s="5" customFormat="1" ht="25.5" customHeight="1">
      <c r="A441" s="256" t="s">
        <v>269</v>
      </c>
      <c r="B441" s="618">
        <v>2</v>
      </c>
      <c r="C441" s="618">
        <v>2</v>
      </c>
      <c r="D441" s="623">
        <f t="shared" si="22"/>
        <v>0</v>
      </c>
      <c r="E441" s="356">
        <f t="shared" si="23"/>
        <v>1</v>
      </c>
      <c r="F441" s="254"/>
      <c r="G441" s="254"/>
      <c r="H441" s="262"/>
      <c r="I441" s="254"/>
      <c r="J441" s="250"/>
      <c r="K441" s="41"/>
    </row>
    <row r="442" spans="1:11" s="5" customFormat="1" ht="25.5">
      <c r="A442" s="259" t="s">
        <v>325</v>
      </c>
      <c r="B442" s="261"/>
      <c r="C442" s="261"/>
      <c r="D442" s="269"/>
      <c r="E442" s="272"/>
      <c r="F442" s="618">
        <v>7161781.63</v>
      </c>
      <c r="G442" s="618">
        <v>6575299.56</v>
      </c>
      <c r="H442" s="622">
        <f>G442/F442</f>
        <v>0.918109473270829</v>
      </c>
      <c r="I442" s="254"/>
      <c r="J442" s="255" t="s">
        <v>323</v>
      </c>
      <c r="K442" s="41"/>
    </row>
    <row r="443" spans="1:11" s="5" customFormat="1" ht="15.75">
      <c r="A443" s="259" t="s">
        <v>418</v>
      </c>
      <c r="B443" s="618">
        <v>178.1</v>
      </c>
      <c r="C443" s="618">
        <v>178.1</v>
      </c>
      <c r="D443" s="269">
        <v>0</v>
      </c>
      <c r="E443" s="272">
        <v>1</v>
      </c>
      <c r="F443" s="254"/>
      <c r="G443" s="254"/>
      <c r="H443" s="262"/>
      <c r="I443" s="254"/>
      <c r="J443" s="250"/>
      <c r="K443" s="41"/>
    </row>
    <row r="444" spans="1:11" s="5" customFormat="1" ht="15.75">
      <c r="A444" s="259" t="s">
        <v>417</v>
      </c>
      <c r="B444" s="618">
        <v>56</v>
      </c>
      <c r="C444" s="618">
        <v>56</v>
      </c>
      <c r="D444" s="269">
        <v>0</v>
      </c>
      <c r="E444" s="272">
        <v>1</v>
      </c>
      <c r="F444" s="254"/>
      <c r="G444" s="254"/>
      <c r="H444" s="262"/>
      <c r="I444" s="254"/>
      <c r="J444" s="250"/>
      <c r="K444" s="41"/>
    </row>
    <row r="445" spans="1:11" s="5" customFormat="1" ht="25.5">
      <c r="A445" s="259" t="s">
        <v>692</v>
      </c>
      <c r="B445" s="618">
        <v>79</v>
      </c>
      <c r="C445" s="618">
        <v>79</v>
      </c>
      <c r="D445" s="269">
        <f>C445-B445</f>
        <v>0</v>
      </c>
      <c r="E445" s="272">
        <f>C445/B445</f>
        <v>1</v>
      </c>
      <c r="F445" s="254"/>
      <c r="G445" s="254"/>
      <c r="H445" s="262"/>
      <c r="I445" s="254"/>
      <c r="J445" s="250"/>
      <c r="K445" s="41"/>
    </row>
    <row r="446" spans="1:11" s="5" customFormat="1" ht="15.75">
      <c r="A446" s="259" t="s">
        <v>414</v>
      </c>
      <c r="B446" s="618">
        <v>133.1</v>
      </c>
      <c r="C446" s="618">
        <v>133.1</v>
      </c>
      <c r="D446" s="269">
        <f>C446-B446</f>
        <v>0</v>
      </c>
      <c r="E446" s="272">
        <f>C446/B446</f>
        <v>1</v>
      </c>
      <c r="F446" s="254"/>
      <c r="G446" s="254"/>
      <c r="H446" s="262"/>
      <c r="I446" s="254"/>
      <c r="J446" s="250"/>
      <c r="K446" s="41"/>
    </row>
    <row r="447" spans="1:11" s="5" customFormat="1" ht="15.75" customHeight="1">
      <c r="A447" s="259" t="s">
        <v>128</v>
      </c>
      <c r="B447" s="618">
        <v>9</v>
      </c>
      <c r="C447" s="618">
        <v>9</v>
      </c>
      <c r="D447" s="269">
        <f>C447-B447</f>
        <v>0</v>
      </c>
      <c r="E447" s="272">
        <f>C447/B447</f>
        <v>1</v>
      </c>
      <c r="F447" s="254"/>
      <c r="G447" s="254"/>
      <c r="H447" s="262"/>
      <c r="I447" s="254"/>
      <c r="J447" s="250"/>
      <c r="K447" s="41"/>
    </row>
    <row r="448" spans="1:11" s="5" customFormat="1" ht="15.75">
      <c r="A448" s="259" t="s">
        <v>514</v>
      </c>
      <c r="B448" s="618">
        <v>159.79</v>
      </c>
      <c r="C448" s="618">
        <v>159.79</v>
      </c>
      <c r="D448" s="269">
        <f>C448-B448</f>
        <v>0</v>
      </c>
      <c r="E448" s="272">
        <f>C448/B448</f>
        <v>1</v>
      </c>
      <c r="F448" s="254"/>
      <c r="G448" s="254"/>
      <c r="H448" s="262"/>
      <c r="I448" s="254"/>
      <c r="J448" s="250"/>
      <c r="K448" s="41"/>
    </row>
    <row r="449" spans="1:11" s="5" customFormat="1" ht="15.75">
      <c r="A449" s="260" t="s">
        <v>505</v>
      </c>
      <c r="B449" s="625">
        <f>B414+B415+B416+B418+B419+B420+B421+B422+B424+B425+B427+B429+B430+B431+B432+B434+B435+B437+B438+B439+B440+B441+B443+B444+B445+B446+B447+B448</f>
        <v>911678.7979999998</v>
      </c>
      <c r="C449" s="625">
        <f>C414+C415+C416+C418+C419+C420+C421+C422+C424+C425+C427+C429+C430+C431+C432+C434+C435+C437+C438+C439+C440+C441+C443+C444+C445+C446+C447+C448</f>
        <v>911678.7979999998</v>
      </c>
      <c r="D449" s="269">
        <f>C449-B449</f>
        <v>0</v>
      </c>
      <c r="E449" s="262">
        <f>(E414+E415+E416+E418+E419+E420+E421+E422+E424+E425+E427+E429+E430+E431+E432+E434+E435+E437+E438+E439+E440+E441+E443+E444+E445+E446+E447+E448)/28</f>
        <v>1</v>
      </c>
      <c r="F449" s="268">
        <f>SUM(F412:F442)</f>
        <v>173531378.05999994</v>
      </c>
      <c r="G449" s="268">
        <f>SUM(G412:G442)</f>
        <v>166293028.5</v>
      </c>
      <c r="H449" s="262">
        <f>(H413+H417+H423+H426+H428+H433+H442)/7</f>
        <v>0.9692474366317388</v>
      </c>
      <c r="I449" s="268">
        <f>E449/H449</f>
        <v>1.0317282896049025</v>
      </c>
      <c r="J449" s="251"/>
      <c r="K449" s="41"/>
    </row>
    <row r="450" spans="1:11" s="5" customFormat="1" ht="26.25">
      <c r="A450" s="664" t="s">
        <v>724</v>
      </c>
      <c r="B450" s="625"/>
      <c r="C450" s="625"/>
      <c r="D450" s="269"/>
      <c r="E450" s="262"/>
      <c r="F450" s="268"/>
      <c r="G450" s="268">
        <f>G449/G491</f>
        <v>0.4591361886834999</v>
      </c>
      <c r="H450" s="262"/>
      <c r="I450" s="268"/>
      <c r="J450" s="251"/>
      <c r="K450" s="41"/>
    </row>
    <row r="451" spans="1:11" s="5" customFormat="1" ht="12.75">
      <c r="A451" s="824" t="s">
        <v>419</v>
      </c>
      <c r="B451" s="824"/>
      <c r="C451" s="824"/>
      <c r="D451" s="824"/>
      <c r="E451" s="824"/>
      <c r="F451" s="824"/>
      <c r="G451" s="824"/>
      <c r="H451" s="824"/>
      <c r="I451" s="824"/>
      <c r="J451" s="824"/>
      <c r="K451" s="41"/>
    </row>
    <row r="452" spans="1:11" s="5" customFormat="1" ht="38.25">
      <c r="A452" s="239" t="s">
        <v>326</v>
      </c>
      <c r="B452" s="270"/>
      <c r="C452" s="270"/>
      <c r="D452" s="271"/>
      <c r="E452" s="271"/>
      <c r="F452" s="618">
        <v>12018346.59</v>
      </c>
      <c r="G452" s="618">
        <v>11809894.04</v>
      </c>
      <c r="H452" s="622">
        <f>G452/F452</f>
        <v>0.9826554719121309</v>
      </c>
      <c r="I452" s="246"/>
      <c r="J452" s="501" t="s">
        <v>323</v>
      </c>
      <c r="K452" s="41"/>
    </row>
    <row r="453" spans="1:11" s="5" customFormat="1" ht="15.75">
      <c r="A453" s="239" t="s">
        <v>270</v>
      </c>
      <c r="B453" s="618">
        <v>19.9</v>
      </c>
      <c r="C453" s="618">
        <v>19.9</v>
      </c>
      <c r="D453" s="623">
        <f>C453-B453</f>
        <v>0</v>
      </c>
      <c r="E453" s="356">
        <f>C453/B453</f>
        <v>1</v>
      </c>
      <c r="F453" s="618"/>
      <c r="G453" s="618"/>
      <c r="H453" s="622"/>
      <c r="I453" s="246"/>
      <c r="J453" s="250"/>
      <c r="K453" s="41"/>
    </row>
    <row r="454" spans="1:11" s="5" customFormat="1" ht="25.5">
      <c r="A454" s="239" t="s">
        <v>271</v>
      </c>
      <c r="B454" s="618">
        <v>10</v>
      </c>
      <c r="C454" s="618">
        <v>10</v>
      </c>
      <c r="D454" s="623">
        <f>C454-B454</f>
        <v>0</v>
      </c>
      <c r="E454" s="356">
        <f>C454/B454</f>
        <v>1</v>
      </c>
      <c r="F454" s="618"/>
      <c r="G454" s="618"/>
      <c r="H454" s="622"/>
      <c r="I454" s="246"/>
      <c r="J454" s="250"/>
      <c r="K454" s="41"/>
    </row>
    <row r="455" spans="1:11" s="5" customFormat="1" ht="15.75">
      <c r="A455" s="239" t="s">
        <v>272</v>
      </c>
      <c r="B455" s="618">
        <v>398</v>
      </c>
      <c r="C455" s="618">
        <v>398</v>
      </c>
      <c r="D455" s="623">
        <f>C455-B455</f>
        <v>0</v>
      </c>
      <c r="E455" s="356">
        <f>C455/B455</f>
        <v>1</v>
      </c>
      <c r="F455" s="618"/>
      <c r="G455" s="618"/>
      <c r="H455" s="622"/>
      <c r="I455" s="246"/>
      <c r="J455" s="250"/>
      <c r="K455" s="41"/>
    </row>
    <row r="456" spans="1:11" s="5" customFormat="1" ht="25.5">
      <c r="A456" s="252" t="s">
        <v>202</v>
      </c>
      <c r="B456" s="618">
        <v>80</v>
      </c>
      <c r="C456" s="618">
        <v>80</v>
      </c>
      <c r="D456" s="623">
        <f>C456-B456</f>
        <v>0</v>
      </c>
      <c r="E456" s="356">
        <f>C456/B456</f>
        <v>1</v>
      </c>
      <c r="F456" s="618"/>
      <c r="G456" s="618"/>
      <c r="H456" s="622"/>
      <c r="I456" s="246"/>
      <c r="J456" s="250"/>
      <c r="K456" s="41"/>
    </row>
    <row r="457" spans="1:11" s="5" customFormat="1" ht="25.5" customHeight="1">
      <c r="A457" s="265" t="s">
        <v>327</v>
      </c>
      <c r="B457" s="618"/>
      <c r="C457" s="618"/>
      <c r="D457" s="623"/>
      <c r="E457" s="356"/>
      <c r="F457" s="618">
        <v>26150782</v>
      </c>
      <c r="G457" s="618">
        <v>26150782</v>
      </c>
      <c r="H457" s="622">
        <f>G457/F457</f>
        <v>1</v>
      </c>
      <c r="I457" s="246"/>
      <c r="J457" s="250"/>
      <c r="K457" s="41"/>
    </row>
    <row r="458" spans="1:11" s="5" customFormat="1" ht="30" customHeight="1">
      <c r="A458" s="265" t="s">
        <v>283</v>
      </c>
      <c r="B458" s="618">
        <v>17529</v>
      </c>
      <c r="C458" s="618">
        <v>17529</v>
      </c>
      <c r="D458" s="623">
        <f>C458-B458</f>
        <v>0</v>
      </c>
      <c r="E458" s="356">
        <f>C458/B458</f>
        <v>1</v>
      </c>
      <c r="F458" s="618"/>
      <c r="G458" s="618"/>
      <c r="H458" s="622"/>
      <c r="I458" s="246"/>
      <c r="J458" s="250"/>
      <c r="K458" s="41"/>
    </row>
    <row r="459" spans="1:11" s="5" customFormat="1" ht="25.5">
      <c r="A459" s="357" t="s">
        <v>328</v>
      </c>
      <c r="B459" s="618"/>
      <c r="C459" s="618"/>
      <c r="D459" s="623"/>
      <c r="E459" s="623"/>
      <c r="F459" s="618">
        <v>32700209.7</v>
      </c>
      <c r="G459" s="739">
        <v>32083189.22</v>
      </c>
      <c r="H459" s="622">
        <f>G459/F459</f>
        <v>0.9811309931752517</v>
      </c>
      <c r="I459" s="254"/>
      <c r="J459" s="501" t="s">
        <v>323</v>
      </c>
      <c r="K459" s="41"/>
    </row>
    <row r="460" spans="1:11" s="5" customFormat="1" ht="25.5">
      <c r="A460" s="265" t="s">
        <v>284</v>
      </c>
      <c r="B460" s="618">
        <v>600</v>
      </c>
      <c r="C460" s="618">
        <v>600</v>
      </c>
      <c r="D460" s="356">
        <f>C460-B460</f>
        <v>0</v>
      </c>
      <c r="E460" s="356">
        <f>C460/B460</f>
        <v>1</v>
      </c>
      <c r="F460" s="254"/>
      <c r="G460" s="254"/>
      <c r="H460" s="268"/>
      <c r="I460" s="254"/>
      <c r="J460" s="255"/>
      <c r="K460" s="41"/>
    </row>
    <row r="461" spans="1:11" s="5" customFormat="1" ht="12.75">
      <c r="A461" s="265" t="s">
        <v>285</v>
      </c>
      <c r="B461" s="618">
        <v>260</v>
      </c>
      <c r="C461" s="618">
        <v>260</v>
      </c>
      <c r="D461" s="356">
        <f>C461-B461</f>
        <v>0</v>
      </c>
      <c r="E461" s="356">
        <f>C461/B461</f>
        <v>1</v>
      </c>
      <c r="F461" s="254"/>
      <c r="G461" s="254"/>
      <c r="H461" s="268"/>
      <c r="I461" s="254"/>
      <c r="J461" s="255"/>
      <c r="K461" s="41"/>
    </row>
    <row r="462" spans="1:11" s="5" customFormat="1" ht="25.5">
      <c r="A462" s="265" t="s">
        <v>286</v>
      </c>
      <c r="B462" s="618">
        <v>106</v>
      </c>
      <c r="C462" s="618">
        <v>106</v>
      </c>
      <c r="D462" s="356">
        <f>C462-B462</f>
        <v>0</v>
      </c>
      <c r="E462" s="356">
        <f>C462/B462</f>
        <v>1</v>
      </c>
      <c r="F462" s="254"/>
      <c r="G462" s="254"/>
      <c r="H462" s="268"/>
      <c r="I462" s="254"/>
      <c r="J462" s="255"/>
      <c r="K462" s="41"/>
    </row>
    <row r="463" spans="1:11" s="5" customFormat="1" ht="25.5">
      <c r="A463" s="265" t="s">
        <v>192</v>
      </c>
      <c r="B463" s="618">
        <v>191</v>
      </c>
      <c r="C463" s="618">
        <v>191</v>
      </c>
      <c r="D463" s="356">
        <f>C463-B463</f>
        <v>0</v>
      </c>
      <c r="E463" s="356">
        <f>C463/B463</f>
        <v>1</v>
      </c>
      <c r="F463" s="254"/>
      <c r="G463" s="254"/>
      <c r="H463" s="268"/>
      <c r="I463" s="254"/>
      <c r="J463" s="255"/>
      <c r="K463" s="41"/>
    </row>
    <row r="464" spans="1:11" s="5" customFormat="1" ht="89.25">
      <c r="A464" s="265" t="s">
        <v>329</v>
      </c>
      <c r="B464" s="268"/>
      <c r="C464" s="268"/>
      <c r="D464" s="269"/>
      <c r="E464" s="269"/>
      <c r="F464" s="618">
        <v>58963918.3</v>
      </c>
      <c r="G464" s="618">
        <v>58881813.95</v>
      </c>
      <c r="H464" s="622">
        <f>G464/F464</f>
        <v>0.9986075492883247</v>
      </c>
      <c r="I464" s="254"/>
      <c r="J464" s="255"/>
      <c r="K464" s="41"/>
    </row>
    <row r="465" spans="1:11" s="5" customFormat="1" ht="26.25">
      <c r="A465" s="265" t="s">
        <v>677</v>
      </c>
      <c r="B465" s="618">
        <v>9</v>
      </c>
      <c r="C465" s="618">
        <v>9</v>
      </c>
      <c r="D465" s="623">
        <f aca="true" t="shared" si="24" ref="D465:D477">C465-B465</f>
        <v>0</v>
      </c>
      <c r="E465" s="356">
        <f aca="true" t="shared" si="25" ref="E465:E477">C465/B465</f>
        <v>1</v>
      </c>
      <c r="F465" s="254"/>
      <c r="G465" s="254"/>
      <c r="H465" s="268"/>
      <c r="I465" s="254"/>
      <c r="J465" s="250"/>
      <c r="K465" s="41"/>
    </row>
    <row r="466" spans="1:11" s="5" customFormat="1" ht="25.5">
      <c r="A466" s="357" t="s">
        <v>678</v>
      </c>
      <c r="B466" s="618">
        <v>64</v>
      </c>
      <c r="C466" s="618">
        <v>64</v>
      </c>
      <c r="D466" s="623">
        <f t="shared" si="24"/>
        <v>0</v>
      </c>
      <c r="E466" s="356">
        <f t="shared" si="25"/>
        <v>1</v>
      </c>
      <c r="F466" s="254"/>
      <c r="G466" s="254"/>
      <c r="H466" s="268"/>
      <c r="I466" s="254"/>
      <c r="J466" s="250"/>
      <c r="K466" s="41"/>
    </row>
    <row r="467" spans="1:11" s="5" customFormat="1" ht="15.75">
      <c r="A467" s="265" t="s">
        <v>330</v>
      </c>
      <c r="B467" s="618">
        <v>1</v>
      </c>
      <c r="C467" s="618">
        <v>1</v>
      </c>
      <c r="D467" s="623">
        <f t="shared" si="24"/>
        <v>0</v>
      </c>
      <c r="E467" s="356">
        <f t="shared" si="25"/>
        <v>1</v>
      </c>
      <c r="F467" s="254"/>
      <c r="G467" s="254"/>
      <c r="H467" s="268"/>
      <c r="I467" s="254"/>
      <c r="J467" s="250"/>
      <c r="K467" s="41"/>
    </row>
    <row r="468" spans="1:11" s="5" customFormat="1" ht="26.25">
      <c r="A468" s="265" t="s">
        <v>642</v>
      </c>
      <c r="B468" s="618">
        <v>103.23</v>
      </c>
      <c r="C468" s="618">
        <v>103.23</v>
      </c>
      <c r="D468" s="623">
        <f>C468-B468</f>
        <v>0</v>
      </c>
      <c r="E468" s="356">
        <f>C468/B468</f>
        <v>1</v>
      </c>
      <c r="F468" s="254"/>
      <c r="G468" s="254"/>
      <c r="H468" s="268"/>
      <c r="I468" s="254"/>
      <c r="J468" s="250"/>
      <c r="K468" s="41"/>
    </row>
    <row r="469" spans="1:11" s="5" customFormat="1" ht="15.75">
      <c r="A469" s="265" t="s">
        <v>304</v>
      </c>
      <c r="B469" s="618">
        <v>2941</v>
      </c>
      <c r="C469" s="618">
        <v>2941</v>
      </c>
      <c r="D469" s="623">
        <f t="shared" si="24"/>
        <v>0</v>
      </c>
      <c r="E469" s="356">
        <f t="shared" si="25"/>
        <v>1</v>
      </c>
      <c r="F469" s="254"/>
      <c r="G469" s="254"/>
      <c r="H469" s="268"/>
      <c r="I469" s="254"/>
      <c r="J469" s="250"/>
      <c r="K469" s="41"/>
    </row>
    <row r="470" spans="1:11" s="5" customFormat="1" ht="26.25">
      <c r="A470" s="265" t="s">
        <v>305</v>
      </c>
      <c r="B470" s="618">
        <v>9527</v>
      </c>
      <c r="C470" s="618">
        <v>9527</v>
      </c>
      <c r="D470" s="623">
        <f t="shared" si="24"/>
        <v>0</v>
      </c>
      <c r="E470" s="356">
        <f t="shared" si="25"/>
        <v>1</v>
      </c>
      <c r="F470" s="254"/>
      <c r="G470" s="254"/>
      <c r="H470" s="268"/>
      <c r="I470" s="254"/>
      <c r="J470" s="250"/>
      <c r="K470" s="41"/>
    </row>
    <row r="471" spans="1:11" s="5" customFormat="1" ht="15.75">
      <c r="A471" s="265" t="s">
        <v>775</v>
      </c>
      <c r="B471" s="618">
        <v>1</v>
      </c>
      <c r="C471" s="618">
        <v>1</v>
      </c>
      <c r="D471" s="623">
        <f t="shared" si="24"/>
        <v>0</v>
      </c>
      <c r="E471" s="356">
        <f t="shared" si="25"/>
        <v>1</v>
      </c>
      <c r="F471" s="254"/>
      <c r="G471" s="254"/>
      <c r="H471" s="268"/>
      <c r="I471" s="254"/>
      <c r="J471" s="250"/>
      <c r="K471" s="41"/>
    </row>
    <row r="472" spans="1:11" s="5" customFormat="1" ht="15.75">
      <c r="A472" s="265" t="s">
        <v>26</v>
      </c>
      <c r="B472" s="618">
        <v>163624</v>
      </c>
      <c r="C472" s="625">
        <v>163624</v>
      </c>
      <c r="D472" s="623">
        <f t="shared" si="24"/>
        <v>0</v>
      </c>
      <c r="E472" s="356">
        <f t="shared" si="25"/>
        <v>1</v>
      </c>
      <c r="F472" s="254"/>
      <c r="G472" s="254"/>
      <c r="H472" s="268"/>
      <c r="I472" s="254"/>
      <c r="J472" s="250"/>
      <c r="K472" s="41"/>
    </row>
    <row r="473" spans="1:11" s="5" customFormat="1" ht="26.25">
      <c r="A473" s="265" t="s">
        <v>776</v>
      </c>
      <c r="B473" s="618">
        <v>8125</v>
      </c>
      <c r="C473" s="618">
        <v>8125</v>
      </c>
      <c r="D473" s="623">
        <f t="shared" si="24"/>
        <v>0</v>
      </c>
      <c r="E473" s="356">
        <f t="shared" si="25"/>
        <v>1</v>
      </c>
      <c r="F473" s="254"/>
      <c r="G473" s="254"/>
      <c r="H473" s="268"/>
      <c r="I473" s="254"/>
      <c r="J473" s="250"/>
      <c r="K473" s="41"/>
    </row>
    <row r="474" spans="1:11" s="5" customFormat="1" ht="26.25">
      <c r="A474" s="265" t="s">
        <v>27</v>
      </c>
      <c r="B474" s="618">
        <v>736</v>
      </c>
      <c r="C474" s="618">
        <v>736</v>
      </c>
      <c r="D474" s="623">
        <f t="shared" si="24"/>
        <v>0</v>
      </c>
      <c r="E474" s="356">
        <f t="shared" si="25"/>
        <v>1</v>
      </c>
      <c r="F474" s="254"/>
      <c r="G474" s="254"/>
      <c r="H474" s="268"/>
      <c r="I474" s="254"/>
      <c r="J474" s="250"/>
      <c r="K474" s="41"/>
    </row>
    <row r="475" spans="1:11" s="5" customFormat="1" ht="15.75">
      <c r="A475" s="265" t="s">
        <v>289</v>
      </c>
      <c r="B475" s="618">
        <v>2</v>
      </c>
      <c r="C475" s="618">
        <v>2</v>
      </c>
      <c r="D475" s="623">
        <f t="shared" si="24"/>
        <v>0</v>
      </c>
      <c r="E475" s="356">
        <f t="shared" si="25"/>
        <v>1</v>
      </c>
      <c r="F475" s="254"/>
      <c r="G475" s="254"/>
      <c r="H475" s="268"/>
      <c r="I475" s="254"/>
      <c r="J475" s="250"/>
      <c r="K475" s="41"/>
    </row>
    <row r="476" spans="1:11" s="5" customFormat="1" ht="38.25">
      <c r="A476" s="265" t="s">
        <v>679</v>
      </c>
      <c r="B476" s="618">
        <v>69691.63</v>
      </c>
      <c r="C476" s="618">
        <v>69691.63</v>
      </c>
      <c r="D476" s="623">
        <f>C476-B476</f>
        <v>0</v>
      </c>
      <c r="E476" s="356">
        <f>C476/B476</f>
        <v>1</v>
      </c>
      <c r="F476" s="254"/>
      <c r="G476" s="254"/>
      <c r="H476" s="268"/>
      <c r="I476" s="254"/>
      <c r="J476" s="255"/>
      <c r="K476" s="41"/>
    </row>
    <row r="477" spans="1:11" s="5" customFormat="1" ht="25.5">
      <c r="A477" s="265" t="s">
        <v>777</v>
      </c>
      <c r="B477" s="618">
        <v>400</v>
      </c>
      <c r="C477" s="618">
        <v>400</v>
      </c>
      <c r="D477" s="623">
        <f t="shared" si="24"/>
        <v>0</v>
      </c>
      <c r="E477" s="356">
        <f t="shared" si="25"/>
        <v>1</v>
      </c>
      <c r="F477" s="254"/>
      <c r="G477" s="254"/>
      <c r="H477" s="268"/>
      <c r="I477" s="254"/>
      <c r="J477" s="255"/>
      <c r="K477" s="41"/>
    </row>
    <row r="478" spans="1:11" s="5" customFormat="1" ht="25.5">
      <c r="A478" s="265" t="s">
        <v>622</v>
      </c>
      <c r="B478" s="268"/>
      <c r="C478" s="268"/>
      <c r="D478" s="269"/>
      <c r="E478" s="272"/>
      <c r="F478" s="618">
        <v>5273740.31</v>
      </c>
      <c r="G478" s="618">
        <v>4915523.79</v>
      </c>
      <c r="H478" s="622">
        <f>G478/F478</f>
        <v>0.9320754343324881</v>
      </c>
      <c r="I478" s="254"/>
      <c r="J478" s="411" t="s">
        <v>323</v>
      </c>
      <c r="K478" s="41"/>
    </row>
    <row r="479" spans="1:11" s="5" customFormat="1" ht="18.75" customHeight="1">
      <c r="A479" s="265" t="s">
        <v>680</v>
      </c>
      <c r="B479" s="618">
        <v>2930</v>
      </c>
      <c r="C479" s="618">
        <v>2930</v>
      </c>
      <c r="D479" s="623">
        <f>C479-B479</f>
        <v>0</v>
      </c>
      <c r="E479" s="356">
        <f>C479/B479</f>
        <v>1</v>
      </c>
      <c r="F479" s="618"/>
      <c r="G479" s="618"/>
      <c r="H479" s="622"/>
      <c r="I479" s="254"/>
      <c r="J479" s="255"/>
      <c r="K479" s="41"/>
    </row>
    <row r="480" spans="1:11" s="5" customFormat="1" ht="12.75">
      <c r="A480" s="265" t="s">
        <v>681</v>
      </c>
      <c r="B480" s="618">
        <v>234</v>
      </c>
      <c r="C480" s="618">
        <v>234</v>
      </c>
      <c r="D480" s="623">
        <f>C480-B480</f>
        <v>0</v>
      </c>
      <c r="E480" s="356">
        <f>C480/B480</f>
        <v>1</v>
      </c>
      <c r="F480" s="618"/>
      <c r="G480" s="618"/>
      <c r="H480" s="622"/>
      <c r="I480" s="254"/>
      <c r="J480" s="255"/>
      <c r="K480" s="41"/>
    </row>
    <row r="481" spans="1:11" s="5" customFormat="1" ht="12.75">
      <c r="A481" s="265" t="s">
        <v>331</v>
      </c>
      <c r="B481" s="618"/>
      <c r="C481" s="618"/>
      <c r="D481" s="623"/>
      <c r="E481" s="623"/>
      <c r="F481" s="618">
        <v>7163570.3</v>
      </c>
      <c r="G481" s="618">
        <v>7163570.3</v>
      </c>
      <c r="H481" s="622">
        <f>G481/F481</f>
        <v>1</v>
      </c>
      <c r="I481" s="254"/>
      <c r="J481" s="255"/>
      <c r="K481" s="41"/>
    </row>
    <row r="482" spans="1:11" s="5" customFormat="1" ht="25.5">
      <c r="A482" s="265" t="s">
        <v>332</v>
      </c>
      <c r="B482" s="618">
        <v>5</v>
      </c>
      <c r="C482" s="618">
        <v>5</v>
      </c>
      <c r="D482" s="623">
        <f>C482-B482</f>
        <v>0</v>
      </c>
      <c r="E482" s="356">
        <f>C482/B482</f>
        <v>1</v>
      </c>
      <c r="F482" s="618"/>
      <c r="G482" s="618"/>
      <c r="H482" s="622"/>
      <c r="I482" s="254"/>
      <c r="J482" s="255"/>
      <c r="K482" s="41"/>
    </row>
    <row r="483" spans="1:11" s="5" customFormat="1" ht="25.5">
      <c r="A483" s="357" t="s">
        <v>623</v>
      </c>
      <c r="B483" s="618"/>
      <c r="C483" s="618"/>
      <c r="D483" s="623"/>
      <c r="E483" s="356"/>
      <c r="F483" s="618">
        <v>297640</v>
      </c>
      <c r="G483" s="618">
        <v>297640</v>
      </c>
      <c r="H483" s="622">
        <f>G483/F483</f>
        <v>1</v>
      </c>
      <c r="I483" s="254"/>
      <c r="J483" s="250"/>
      <c r="K483" s="41"/>
    </row>
    <row r="484" spans="1:11" s="5" customFormat="1" ht="26.25">
      <c r="A484" s="265" t="s">
        <v>682</v>
      </c>
      <c r="B484" s="618">
        <v>1</v>
      </c>
      <c r="C484" s="618">
        <v>1</v>
      </c>
      <c r="D484" s="623">
        <f>C484-B484</f>
        <v>0</v>
      </c>
      <c r="E484" s="356">
        <f>C484/B484</f>
        <v>1</v>
      </c>
      <c r="F484" s="618"/>
      <c r="G484" s="618"/>
      <c r="H484" s="622"/>
      <c r="I484" s="254"/>
      <c r="J484" s="250"/>
      <c r="K484" s="41"/>
    </row>
    <row r="485" spans="1:11" s="5" customFormat="1" ht="15.75">
      <c r="A485" s="239" t="s">
        <v>334</v>
      </c>
      <c r="B485" s="626"/>
      <c r="C485" s="626"/>
      <c r="D485" s="508"/>
      <c r="E485" s="356"/>
      <c r="F485" s="618">
        <v>35558762.05</v>
      </c>
      <c r="G485" s="618">
        <v>34547286.11</v>
      </c>
      <c r="H485" s="622">
        <f>G485/F485</f>
        <v>0.9715548044507922</v>
      </c>
      <c r="I485" s="267"/>
      <c r="J485" s="250"/>
      <c r="K485" s="41"/>
    </row>
    <row r="486" spans="1:11" s="5" customFormat="1" ht="25.5">
      <c r="A486" s="239" t="s">
        <v>420</v>
      </c>
      <c r="B486" s="626">
        <v>100</v>
      </c>
      <c r="C486" s="626">
        <v>100</v>
      </c>
      <c r="D486" s="623">
        <f>C486-B486</f>
        <v>0</v>
      </c>
      <c r="E486" s="356">
        <f>C486/B486</f>
        <v>1</v>
      </c>
      <c r="F486" s="618"/>
      <c r="G486" s="618"/>
      <c r="H486" s="622"/>
      <c r="I486" s="266"/>
      <c r="J486" s="250"/>
      <c r="K486" s="41"/>
    </row>
    <row r="487" spans="1:11" s="5" customFormat="1" ht="25.5">
      <c r="A487" s="239" t="s">
        <v>333</v>
      </c>
      <c r="B487" s="626"/>
      <c r="C487" s="626"/>
      <c r="D487" s="623"/>
      <c r="E487" s="356"/>
      <c r="F487" s="618">
        <v>20365521.63</v>
      </c>
      <c r="G487" s="618">
        <v>20043988.36</v>
      </c>
      <c r="H487" s="622">
        <f>G487/F487</f>
        <v>0.9842118814415067</v>
      </c>
      <c r="I487" s="266"/>
      <c r="J487" s="501" t="s">
        <v>323</v>
      </c>
      <c r="K487" s="41"/>
    </row>
    <row r="488" spans="1:11" s="5" customFormat="1" ht="25.5">
      <c r="A488" s="239" t="s">
        <v>335</v>
      </c>
      <c r="B488" s="626">
        <v>100</v>
      </c>
      <c r="C488" s="626">
        <v>100</v>
      </c>
      <c r="D488" s="623">
        <f>C488-B488</f>
        <v>0</v>
      </c>
      <c r="E488" s="356">
        <f>C488/B488</f>
        <v>1</v>
      </c>
      <c r="F488" s="618"/>
      <c r="G488" s="618"/>
      <c r="H488" s="622"/>
      <c r="I488" s="266"/>
      <c r="J488" s="501"/>
      <c r="K488" s="41"/>
    </row>
    <row r="489" spans="1:11" s="5" customFormat="1" ht="15.75">
      <c r="A489" s="260" t="s">
        <v>198</v>
      </c>
      <c r="B489" s="624">
        <f>B453+B454+B455+B456+B458+B460+B461+B462+B463+B465+B466+B467+B468+B469+B470+B471+B472+B473+B474+B475+B476+B477+B479+B480+B482+B484+B486</f>
        <v>277688.76</v>
      </c>
      <c r="C489" s="624">
        <f>C453+C454+C455+C456+C458+C460+C461+C462+C463+C465+C466+C467+C468+C469+C470+C471+C472+C473+C474+C475+C476+C477+C479+C480+C482+C484+C486</f>
        <v>277688.76</v>
      </c>
      <c r="D489" s="623">
        <f>C489-B489</f>
        <v>0</v>
      </c>
      <c r="E489" s="356">
        <f>C489/B489</f>
        <v>1</v>
      </c>
      <c r="F489" s="618">
        <f>SUM(F452:F487)</f>
        <v>198492490.88</v>
      </c>
      <c r="G489" s="618">
        <f>SUM(G452:G487)</f>
        <v>195893687.77000004</v>
      </c>
      <c r="H489" s="622">
        <f>(H452+H457+H459+H464+H478+H481+H483+H485+H487)/9</f>
        <v>0.9833595705111661</v>
      </c>
      <c r="I489" s="262">
        <f>E489/H489</f>
        <v>1.016922019155398</v>
      </c>
      <c r="J489" s="251"/>
      <c r="K489" s="41"/>
    </row>
    <row r="490" spans="1:11" s="5" customFormat="1" ht="26.25">
      <c r="A490" s="664" t="s">
        <v>89</v>
      </c>
      <c r="B490" s="624"/>
      <c r="C490" s="624"/>
      <c r="D490" s="623"/>
      <c r="E490" s="356"/>
      <c r="F490" s="618"/>
      <c r="G490" s="618">
        <f>G489/G491</f>
        <v>0.5408638113165001</v>
      </c>
      <c r="H490" s="622"/>
      <c r="I490" s="262"/>
      <c r="J490" s="251"/>
      <c r="K490" s="41"/>
    </row>
    <row r="491" spans="1:11" s="5" customFormat="1" ht="15.75">
      <c r="A491" s="414" t="s">
        <v>298</v>
      </c>
      <c r="B491" s="507">
        <f>B449+B489</f>
        <v>1189367.5579999997</v>
      </c>
      <c r="C491" s="507">
        <f>C449+C489</f>
        <v>1189367.5579999997</v>
      </c>
      <c r="D491" s="439">
        <f>C491-B491</f>
        <v>0</v>
      </c>
      <c r="E491" s="480">
        <f>C491/B491</f>
        <v>1</v>
      </c>
      <c r="F491" s="635">
        <f>F449+F489</f>
        <v>372023868.93999994</v>
      </c>
      <c r="G491" s="635">
        <f>G449+G489</f>
        <v>362186716.27000004</v>
      </c>
      <c r="H491" s="412">
        <f>(H449+H489)/2</f>
        <v>0.9763035035714525</v>
      </c>
      <c r="I491" s="412">
        <f>E491/H491</f>
        <v>1.0242716494838566</v>
      </c>
      <c r="J491" s="413"/>
      <c r="K491" s="41"/>
    </row>
    <row r="492" spans="1:11" s="5" customFormat="1" ht="18.75" customHeight="1">
      <c r="A492" s="823" t="s">
        <v>70</v>
      </c>
      <c r="B492" s="823"/>
      <c r="C492" s="823"/>
      <c r="D492" s="823"/>
      <c r="E492" s="823"/>
      <c r="F492" s="823"/>
      <c r="G492" s="823"/>
      <c r="H492" s="823"/>
      <c r="I492" s="823"/>
      <c r="J492" s="823"/>
      <c r="K492" s="41"/>
    </row>
    <row r="493" spans="1:11" s="5" customFormat="1" ht="18.75" customHeight="1">
      <c r="A493" s="831" t="s">
        <v>78</v>
      </c>
      <c r="B493" s="831"/>
      <c r="C493" s="831"/>
      <c r="D493" s="831"/>
      <c r="E493" s="831"/>
      <c r="F493" s="831"/>
      <c r="G493" s="831"/>
      <c r="H493" s="831"/>
      <c r="I493" s="831"/>
      <c r="J493" s="831"/>
      <c r="K493" s="41"/>
    </row>
    <row r="494" spans="1:11" s="5" customFormat="1" ht="24.75" customHeight="1">
      <c r="A494" s="26" t="s">
        <v>175</v>
      </c>
      <c r="B494" s="19"/>
      <c r="C494" s="19"/>
      <c r="D494" s="16"/>
      <c r="E494" s="17"/>
      <c r="F494" s="12">
        <v>221854</v>
      </c>
      <c r="G494" s="12">
        <v>160205.48</v>
      </c>
      <c r="H494" s="220">
        <f>G494/F494</f>
        <v>0.7221212148530115</v>
      </c>
      <c r="I494" s="17"/>
      <c r="J494" s="221"/>
      <c r="K494" s="41"/>
    </row>
    <row r="495" spans="1:11" s="5" customFormat="1" ht="38.25">
      <c r="A495" s="512" t="s">
        <v>176</v>
      </c>
      <c r="B495" s="508" t="s">
        <v>652</v>
      </c>
      <c r="C495" s="13">
        <v>0.004</v>
      </c>
      <c r="D495" s="16"/>
      <c r="E495" s="12">
        <v>1</v>
      </c>
      <c r="F495" s="12"/>
      <c r="G495" s="12"/>
      <c r="H495" s="220"/>
      <c r="I495" s="17"/>
      <c r="J495" s="221"/>
      <c r="K495" s="41"/>
    </row>
    <row r="496" spans="1:11" s="5" customFormat="1" ht="25.5">
      <c r="A496" s="512" t="s">
        <v>171</v>
      </c>
      <c r="B496" s="508"/>
      <c r="C496" s="13"/>
      <c r="D496" s="16"/>
      <c r="E496" s="17"/>
      <c r="F496" s="12"/>
      <c r="G496" s="12">
        <f>G494/G518</f>
        <v>0.012477170110377885</v>
      </c>
      <c r="H496" s="220"/>
      <c r="I496" s="17"/>
      <c r="J496" s="221"/>
      <c r="K496" s="41"/>
    </row>
    <row r="497" spans="1:11" s="5" customFormat="1" ht="12.75">
      <c r="A497" s="654" t="s">
        <v>469</v>
      </c>
      <c r="B497" s="655"/>
      <c r="C497" s="17"/>
      <c r="D497" s="16"/>
      <c r="E497" s="16">
        <v>1</v>
      </c>
      <c r="F497" s="16">
        <f>F494</f>
        <v>221854</v>
      </c>
      <c r="G497" s="16">
        <f>G494</f>
        <v>160205.48</v>
      </c>
      <c r="H497" s="457">
        <f>H494</f>
        <v>0.7221212148530115</v>
      </c>
      <c r="I497" s="17">
        <f>E497/H497</f>
        <v>1.3848090589660227</v>
      </c>
      <c r="J497" s="221"/>
      <c r="K497" s="41"/>
    </row>
    <row r="498" spans="1:11" s="5" customFormat="1" ht="12.75">
      <c r="A498" s="832" t="s">
        <v>79</v>
      </c>
      <c r="B498" s="802"/>
      <c r="C498" s="802"/>
      <c r="D498" s="802"/>
      <c r="E498" s="802"/>
      <c r="F498" s="802"/>
      <c r="G498" s="802"/>
      <c r="H498" s="802"/>
      <c r="I498" s="802"/>
      <c r="J498" s="802"/>
      <c r="K498" s="41"/>
    </row>
    <row r="499" spans="1:11" s="5" customFormat="1" ht="51">
      <c r="A499" s="510" t="s">
        <v>185</v>
      </c>
      <c r="B499" s="8" t="s">
        <v>199</v>
      </c>
      <c r="C499" s="18">
        <v>95</v>
      </c>
      <c r="D499" s="16"/>
      <c r="E499" s="12">
        <v>1</v>
      </c>
      <c r="F499" s="16"/>
      <c r="G499" s="16"/>
      <c r="H499" s="17"/>
      <c r="I499" s="17"/>
      <c r="J499" s="223"/>
      <c r="K499" s="41"/>
    </row>
    <row r="500" spans="1:11" s="5" customFormat="1" ht="57" customHeight="1">
      <c r="A500" s="510" t="s">
        <v>186</v>
      </c>
      <c r="B500" s="222" t="s">
        <v>200</v>
      </c>
      <c r="C500" s="18">
        <v>54</v>
      </c>
      <c r="D500" s="16"/>
      <c r="E500" s="12">
        <v>1</v>
      </c>
      <c r="F500" s="16"/>
      <c r="G500" s="16"/>
      <c r="H500" s="17"/>
      <c r="I500" s="17"/>
      <c r="J500" s="223"/>
      <c r="K500" s="41"/>
    </row>
    <row r="501" spans="1:11" s="5" customFormat="1" ht="51">
      <c r="A501" s="510" t="s">
        <v>783</v>
      </c>
      <c r="B501" s="222">
        <v>100</v>
      </c>
      <c r="C501" s="511">
        <v>100</v>
      </c>
      <c r="D501" s="16"/>
      <c r="E501" s="12">
        <v>1</v>
      </c>
      <c r="F501" s="16"/>
      <c r="G501" s="16"/>
      <c r="H501" s="17"/>
      <c r="I501" s="17"/>
      <c r="J501" s="223"/>
      <c r="K501" s="41"/>
    </row>
    <row r="502" spans="1:11" s="5" customFormat="1" ht="25.5">
      <c r="A502" s="510" t="s">
        <v>784</v>
      </c>
      <c r="B502" s="222">
        <v>0</v>
      </c>
      <c r="C502" s="511">
        <v>0</v>
      </c>
      <c r="D502" s="16"/>
      <c r="E502" s="12">
        <v>1</v>
      </c>
      <c r="F502" s="16"/>
      <c r="G502" s="16"/>
      <c r="H502" s="17"/>
      <c r="I502" s="17"/>
      <c r="J502" s="223"/>
      <c r="K502" s="41"/>
    </row>
    <row r="503" spans="1:11" s="5" customFormat="1" ht="25.5">
      <c r="A503" s="510" t="s">
        <v>564</v>
      </c>
      <c r="B503" s="222" t="s">
        <v>651</v>
      </c>
      <c r="C503" s="511">
        <v>96</v>
      </c>
      <c r="D503" s="16"/>
      <c r="E503" s="12">
        <v>1</v>
      </c>
      <c r="F503" s="16"/>
      <c r="G503" s="16"/>
      <c r="H503" s="17"/>
      <c r="I503" s="17"/>
      <c r="J503" s="223"/>
      <c r="K503" s="41"/>
    </row>
    <row r="504" spans="1:11" s="5" customFormat="1" ht="89.25">
      <c r="A504" s="510" t="s">
        <v>785</v>
      </c>
      <c r="B504" s="222">
        <v>100</v>
      </c>
      <c r="C504" s="511">
        <v>100</v>
      </c>
      <c r="D504" s="16"/>
      <c r="E504" s="12">
        <v>1</v>
      </c>
      <c r="F504" s="16"/>
      <c r="G504" s="16"/>
      <c r="H504" s="17"/>
      <c r="I504" s="17"/>
      <c r="J504" s="223"/>
      <c r="K504" s="41"/>
    </row>
    <row r="505" spans="1:11" s="5" customFormat="1" ht="89.25">
      <c r="A505" s="1" t="s">
        <v>787</v>
      </c>
      <c r="B505" s="508" t="s">
        <v>786</v>
      </c>
      <c r="C505" s="511">
        <v>27</v>
      </c>
      <c r="D505" s="16"/>
      <c r="E505" s="12">
        <v>1</v>
      </c>
      <c r="F505" s="16"/>
      <c r="G505" s="16"/>
      <c r="H505" s="17"/>
      <c r="I505" s="17"/>
      <c r="J505" s="223" t="s">
        <v>134</v>
      </c>
      <c r="K505" s="41"/>
    </row>
    <row r="506" spans="1:11" s="5" customFormat="1" ht="79.5" customHeight="1">
      <c r="A506" s="510" t="s">
        <v>788</v>
      </c>
      <c r="B506" s="222">
        <v>100</v>
      </c>
      <c r="C506" s="511">
        <v>100</v>
      </c>
      <c r="D506" s="16"/>
      <c r="E506" s="12">
        <v>1</v>
      </c>
      <c r="F506" s="16"/>
      <c r="G506" s="16"/>
      <c r="H506" s="17"/>
      <c r="I506" s="17"/>
      <c r="J506" s="223"/>
      <c r="K506" s="41"/>
    </row>
    <row r="507" spans="1:11" s="5" customFormat="1" ht="72">
      <c r="A507" s="357" t="s">
        <v>789</v>
      </c>
      <c r="B507" s="222"/>
      <c r="C507" s="18"/>
      <c r="D507" s="16"/>
      <c r="E507" s="13"/>
      <c r="F507" s="12">
        <v>12792635</v>
      </c>
      <c r="G507" s="12">
        <v>12679683.58</v>
      </c>
      <c r="H507" s="13">
        <f>G507/F507</f>
        <v>0.9911705899527345</v>
      </c>
      <c r="I507" s="17"/>
      <c r="J507" s="223" t="s">
        <v>790</v>
      </c>
      <c r="K507" s="41"/>
    </row>
    <row r="508" spans="1:11" s="5" customFormat="1" ht="25.5">
      <c r="A508" s="512" t="s">
        <v>172</v>
      </c>
      <c r="B508" s="222"/>
      <c r="C508" s="18"/>
      <c r="D508" s="16"/>
      <c r="E508" s="13"/>
      <c r="F508" s="12"/>
      <c r="G508" s="12">
        <f>G507/G518</f>
        <v>0.987522829889622</v>
      </c>
      <c r="H508" s="13"/>
      <c r="I508" s="17"/>
      <c r="J508" s="223"/>
      <c r="K508" s="41"/>
    </row>
    <row r="509" spans="1:11" s="5" customFormat="1" ht="12.75">
      <c r="A509" s="654" t="s">
        <v>769</v>
      </c>
      <c r="B509" s="656"/>
      <c r="C509" s="652"/>
      <c r="D509" s="16"/>
      <c r="E509" s="17">
        <f>SUM(E499:E506)/8</f>
        <v>1</v>
      </c>
      <c r="F509" s="16">
        <f>F507</f>
        <v>12792635</v>
      </c>
      <c r="G509" s="16">
        <f>G507</f>
        <v>12679683.58</v>
      </c>
      <c r="H509" s="17">
        <f>G509/F509</f>
        <v>0.9911705899527345</v>
      </c>
      <c r="I509" s="17"/>
      <c r="J509" s="192"/>
      <c r="K509" s="41"/>
    </row>
    <row r="510" spans="1:11" s="5" customFormat="1" ht="12.75">
      <c r="A510" s="806" t="s">
        <v>80</v>
      </c>
      <c r="B510" s="802"/>
      <c r="C510" s="802"/>
      <c r="D510" s="802"/>
      <c r="E510" s="802"/>
      <c r="F510" s="802"/>
      <c r="G510" s="802"/>
      <c r="H510" s="802"/>
      <c r="I510" s="802"/>
      <c r="J510" s="802"/>
      <c r="K510" s="41"/>
    </row>
    <row r="511" spans="1:11" s="5" customFormat="1" ht="38.25">
      <c r="A511" s="1" t="s">
        <v>791</v>
      </c>
      <c r="B511" s="222">
        <v>0</v>
      </c>
      <c r="C511" s="96">
        <v>0</v>
      </c>
      <c r="D511" s="16"/>
      <c r="E511" s="12">
        <v>1</v>
      </c>
      <c r="F511" s="16"/>
      <c r="G511" s="16"/>
      <c r="H511" s="17"/>
      <c r="I511" s="17"/>
      <c r="J511" s="223"/>
      <c r="K511" s="41"/>
    </row>
    <row r="512" spans="1:11" s="5" customFormat="1" ht="89.25">
      <c r="A512" s="1" t="s">
        <v>668</v>
      </c>
      <c r="B512" s="222" t="s">
        <v>303</v>
      </c>
      <c r="C512" s="18">
        <v>18.9</v>
      </c>
      <c r="D512" s="16"/>
      <c r="E512" s="12">
        <v>1</v>
      </c>
      <c r="F512" s="16"/>
      <c r="G512" s="16"/>
      <c r="H512" s="17"/>
      <c r="I512" s="17"/>
      <c r="J512" s="223"/>
      <c r="K512" s="41"/>
    </row>
    <row r="513" spans="1:11" s="5" customFormat="1" ht="12.75">
      <c r="A513" s="654" t="s">
        <v>470</v>
      </c>
      <c r="B513" s="656"/>
      <c r="C513" s="652"/>
      <c r="D513" s="16"/>
      <c r="E513" s="16">
        <f>(E511+E512)/2</f>
        <v>1</v>
      </c>
      <c r="F513" s="16"/>
      <c r="G513" s="16"/>
      <c r="H513" s="17"/>
      <c r="I513" s="17"/>
      <c r="J513" s="192"/>
      <c r="K513" s="41"/>
    </row>
    <row r="514" spans="1:11" s="5" customFormat="1" ht="12.75">
      <c r="A514" s="842" t="s">
        <v>131</v>
      </c>
      <c r="B514" s="802"/>
      <c r="C514" s="802"/>
      <c r="D514" s="802"/>
      <c r="E514" s="802"/>
      <c r="F514" s="802"/>
      <c r="G514" s="802"/>
      <c r="H514" s="802"/>
      <c r="I514" s="802"/>
      <c r="J514" s="802"/>
      <c r="K514" s="41"/>
    </row>
    <row r="515" spans="1:11" s="5" customFormat="1" ht="38.25">
      <c r="A515" s="357" t="s">
        <v>132</v>
      </c>
      <c r="B515" s="508" t="s">
        <v>409</v>
      </c>
      <c r="C515" s="508">
        <v>99.4</v>
      </c>
      <c r="D515" s="509"/>
      <c r="E515" s="355">
        <v>1</v>
      </c>
      <c r="F515" s="509"/>
      <c r="G515" s="509"/>
      <c r="H515" s="509"/>
      <c r="I515" s="509"/>
      <c r="J515" s="509"/>
      <c r="K515" s="41"/>
    </row>
    <row r="516" spans="1:11" s="5" customFormat="1" ht="51">
      <c r="A516" s="357" t="s">
        <v>133</v>
      </c>
      <c r="B516" s="508">
        <v>100</v>
      </c>
      <c r="C516" s="508">
        <v>100</v>
      </c>
      <c r="D516" s="508"/>
      <c r="E516" s="355">
        <v>1</v>
      </c>
      <c r="F516" s="508"/>
      <c r="G516" s="508"/>
      <c r="H516" s="508"/>
      <c r="I516" s="508"/>
      <c r="J516" s="509"/>
      <c r="K516" s="41"/>
    </row>
    <row r="517" spans="1:11" s="5" customFormat="1" ht="12.75">
      <c r="A517" s="654" t="s">
        <v>170</v>
      </c>
      <c r="B517" s="655"/>
      <c r="C517" s="655"/>
      <c r="D517" s="655"/>
      <c r="E517" s="657">
        <f>(E515+E516)/2</f>
        <v>1</v>
      </c>
      <c r="F517" s="655"/>
      <c r="G517" s="655"/>
      <c r="H517" s="655"/>
      <c r="I517" s="655"/>
      <c r="J517" s="658"/>
      <c r="K517" s="41"/>
    </row>
    <row r="518" spans="1:11" s="5" customFormat="1" ht="12.75">
      <c r="A518" s="402" t="s">
        <v>299</v>
      </c>
      <c r="B518" s="415"/>
      <c r="C518" s="415"/>
      <c r="D518" s="373"/>
      <c r="E518" s="374">
        <f>(E495+E499+E500+E501+E502+E503+E504+E505+E506+E511+E512)/11</f>
        <v>1</v>
      </c>
      <c r="F518" s="373">
        <f>F494+F507</f>
        <v>13014489</v>
      </c>
      <c r="G518" s="373">
        <f>G494+G507</f>
        <v>12839889.06</v>
      </c>
      <c r="H518" s="374">
        <f>G518/F518</f>
        <v>0.9865841878232792</v>
      </c>
      <c r="I518" s="374">
        <f>E518/H518</f>
        <v>1.0135982436595912</v>
      </c>
      <c r="J518" s="416"/>
      <c r="K518" s="41"/>
    </row>
    <row r="519" spans="1:11" s="5" customFormat="1" ht="12.75">
      <c r="A519" s="823" t="s">
        <v>573</v>
      </c>
      <c r="B519" s="823"/>
      <c r="C519" s="823"/>
      <c r="D519" s="823"/>
      <c r="E519" s="823"/>
      <c r="F519" s="823"/>
      <c r="G519" s="823"/>
      <c r="H519" s="823"/>
      <c r="I519" s="823"/>
      <c r="J519" s="823"/>
      <c r="K519" s="41"/>
    </row>
    <row r="520" spans="1:11" s="5" customFormat="1" ht="76.5">
      <c r="A520" s="209" t="s">
        <v>254</v>
      </c>
      <c r="B520" s="200"/>
      <c r="C520" s="200"/>
      <c r="D520" s="203"/>
      <c r="E520" s="201"/>
      <c r="F520" s="524">
        <v>589113</v>
      </c>
      <c r="G520" s="524">
        <v>589113</v>
      </c>
      <c r="H520" s="627">
        <f aca="true" t="shared" si="26" ref="H520:H533">G520/F520</f>
        <v>1</v>
      </c>
      <c r="I520" s="201"/>
      <c r="J520" s="350"/>
      <c r="K520" s="41"/>
    </row>
    <row r="521" spans="1:11" s="5" customFormat="1" ht="76.5">
      <c r="A521" s="209" t="s">
        <v>255</v>
      </c>
      <c r="B521" s="200"/>
      <c r="C521" s="200"/>
      <c r="D521" s="203"/>
      <c r="E521" s="201"/>
      <c r="F521" s="524">
        <v>501574.99</v>
      </c>
      <c r="G521" s="524">
        <v>501574.99</v>
      </c>
      <c r="H521" s="627">
        <f t="shared" si="26"/>
        <v>1</v>
      </c>
      <c r="I521" s="201"/>
      <c r="J521" s="350"/>
      <c r="K521" s="41"/>
    </row>
    <row r="522" spans="1:11" s="5" customFormat="1" ht="57" customHeight="1">
      <c r="A522" s="209" t="s">
        <v>256</v>
      </c>
      <c r="B522" s="200"/>
      <c r="C522" s="200"/>
      <c r="D522" s="203"/>
      <c r="E522" s="201"/>
      <c r="F522" s="524">
        <v>309007.2</v>
      </c>
      <c r="G522" s="524">
        <v>309007.2</v>
      </c>
      <c r="H522" s="627">
        <f t="shared" si="26"/>
        <v>1</v>
      </c>
      <c r="I522" s="201"/>
      <c r="J522" s="350"/>
      <c r="K522" s="41"/>
    </row>
    <row r="523" spans="1:11" s="5" customFormat="1" ht="63.75">
      <c r="A523" s="209" t="s">
        <v>257</v>
      </c>
      <c r="B523" s="200"/>
      <c r="C523" s="200"/>
      <c r="D523" s="203"/>
      <c r="E523" s="201"/>
      <c r="F523" s="524">
        <v>212212.8</v>
      </c>
      <c r="G523" s="524">
        <v>212212.8</v>
      </c>
      <c r="H523" s="627">
        <f t="shared" si="26"/>
        <v>1</v>
      </c>
      <c r="I523" s="201"/>
      <c r="J523" s="350"/>
      <c r="K523" s="41"/>
    </row>
    <row r="524" spans="1:11" s="5" customFormat="1" ht="66.75" customHeight="1">
      <c r="A524" s="240" t="s">
        <v>258</v>
      </c>
      <c r="B524" s="200"/>
      <c r="C524" s="200"/>
      <c r="D524" s="203"/>
      <c r="E524" s="201"/>
      <c r="F524" s="628">
        <v>34762.87</v>
      </c>
      <c r="G524" s="628">
        <v>34762.87</v>
      </c>
      <c r="H524" s="627">
        <f t="shared" si="26"/>
        <v>1</v>
      </c>
      <c r="I524" s="201"/>
      <c r="J524" s="205"/>
      <c r="K524" s="41"/>
    </row>
    <row r="525" spans="1:11" s="5" customFormat="1" ht="63.75">
      <c r="A525" s="240" t="s">
        <v>259</v>
      </c>
      <c r="B525" s="200"/>
      <c r="C525" s="200"/>
      <c r="D525" s="203"/>
      <c r="E525" s="201"/>
      <c r="F525" s="628">
        <v>268105.14</v>
      </c>
      <c r="G525" s="628">
        <v>268105.14</v>
      </c>
      <c r="H525" s="627">
        <f t="shared" si="26"/>
        <v>1</v>
      </c>
      <c r="I525" s="201"/>
      <c r="J525" s="205"/>
      <c r="K525" s="41"/>
    </row>
    <row r="526" spans="1:11" s="5" customFormat="1" ht="63.75">
      <c r="A526" s="240" t="s">
        <v>260</v>
      </c>
      <c r="B526" s="200"/>
      <c r="C526" s="200"/>
      <c r="D526" s="203"/>
      <c r="E526" s="201"/>
      <c r="F526" s="628">
        <v>450712.6</v>
      </c>
      <c r="G526" s="628">
        <v>450712.6</v>
      </c>
      <c r="H526" s="627">
        <f t="shared" si="26"/>
        <v>1</v>
      </c>
      <c r="I526" s="201"/>
      <c r="J526" s="205"/>
      <c r="K526" s="41"/>
    </row>
    <row r="527" spans="1:11" s="5" customFormat="1" ht="63.75">
      <c r="A527" s="240" t="s">
        <v>261</v>
      </c>
      <c r="B527" s="200"/>
      <c r="C527" s="200"/>
      <c r="D527" s="203"/>
      <c r="E527" s="201"/>
      <c r="F527" s="628">
        <v>793120.5</v>
      </c>
      <c r="G527" s="628">
        <v>793120.5</v>
      </c>
      <c r="H527" s="627">
        <f t="shared" si="26"/>
        <v>1</v>
      </c>
      <c r="I527" s="201"/>
      <c r="J527" s="205"/>
      <c r="K527" s="41"/>
    </row>
    <row r="528" spans="1:11" s="5" customFormat="1" ht="63.75">
      <c r="A528" s="240" t="s">
        <v>262</v>
      </c>
      <c r="B528" s="200"/>
      <c r="C528" s="200"/>
      <c r="D528" s="203"/>
      <c r="E528" s="201"/>
      <c r="F528" s="628">
        <v>261284.89</v>
      </c>
      <c r="G528" s="628">
        <v>261284.89</v>
      </c>
      <c r="H528" s="627">
        <f t="shared" si="26"/>
        <v>1</v>
      </c>
      <c r="I528" s="201"/>
      <c r="J528" s="205"/>
      <c r="K528" s="41"/>
    </row>
    <row r="529" spans="1:11" s="5" customFormat="1" ht="63.75">
      <c r="A529" s="240" t="s">
        <v>308</v>
      </c>
      <c r="B529" s="200"/>
      <c r="C529" s="200"/>
      <c r="D529" s="203"/>
      <c r="E529" s="201"/>
      <c r="F529" s="628">
        <v>99312.01</v>
      </c>
      <c r="G529" s="628">
        <v>99312.01</v>
      </c>
      <c r="H529" s="627">
        <f t="shared" si="26"/>
        <v>1</v>
      </c>
      <c r="I529" s="201"/>
      <c r="J529" s="205"/>
      <c r="K529" s="41"/>
    </row>
    <row r="530" spans="1:11" s="5" customFormat="1" ht="63.75">
      <c r="A530" s="240" t="s">
        <v>309</v>
      </c>
      <c r="B530" s="200"/>
      <c r="C530" s="200"/>
      <c r="D530" s="203"/>
      <c r="E530" s="201"/>
      <c r="F530" s="628">
        <v>10724695.16</v>
      </c>
      <c r="G530" s="628">
        <v>10679424.63</v>
      </c>
      <c r="H530" s="627">
        <f t="shared" si="26"/>
        <v>0.9957788515827615</v>
      </c>
      <c r="I530" s="201"/>
      <c r="J530" s="205"/>
      <c r="K530" s="41"/>
    </row>
    <row r="531" spans="1:11" s="5" customFormat="1" ht="38.25">
      <c r="A531" s="240" t="s">
        <v>310</v>
      </c>
      <c r="B531" s="200"/>
      <c r="C531" s="200"/>
      <c r="D531" s="203"/>
      <c r="E531" s="201"/>
      <c r="F531" s="628">
        <v>717400.01</v>
      </c>
      <c r="G531" s="628">
        <v>701019.37</v>
      </c>
      <c r="H531" s="627">
        <f t="shared" si="26"/>
        <v>0.9771666576921291</v>
      </c>
      <c r="I531" s="201"/>
      <c r="J531" s="202" t="s">
        <v>311</v>
      </c>
      <c r="K531" s="41"/>
    </row>
    <row r="532" spans="1:11" s="5" customFormat="1" ht="25.5">
      <c r="A532" s="240" t="s">
        <v>312</v>
      </c>
      <c r="B532" s="200"/>
      <c r="C532" s="200"/>
      <c r="D532" s="203"/>
      <c r="E532" s="201"/>
      <c r="F532" s="628">
        <v>350000</v>
      </c>
      <c r="G532" s="628">
        <v>350000</v>
      </c>
      <c r="H532" s="627">
        <f t="shared" si="26"/>
        <v>1</v>
      </c>
      <c r="I532" s="201"/>
      <c r="J532" s="202"/>
      <c r="K532" s="41"/>
    </row>
    <row r="533" spans="1:11" s="5" customFormat="1" ht="52.5" customHeight="1">
      <c r="A533" s="240" t="s">
        <v>313</v>
      </c>
      <c r="B533" s="200"/>
      <c r="C533" s="200"/>
      <c r="D533" s="203"/>
      <c r="E533" s="201"/>
      <c r="F533" s="628">
        <v>597000</v>
      </c>
      <c r="G533" s="628">
        <v>597000</v>
      </c>
      <c r="H533" s="627">
        <f t="shared" si="26"/>
        <v>1</v>
      </c>
      <c r="I533" s="201"/>
      <c r="J533" s="202"/>
      <c r="K533" s="41"/>
    </row>
    <row r="534" spans="1:11" s="5" customFormat="1" ht="36.75" customHeight="1">
      <c r="A534" s="240" t="s">
        <v>28</v>
      </c>
      <c r="B534" s="523">
        <v>0.22</v>
      </c>
      <c r="C534" s="629">
        <v>0.212</v>
      </c>
      <c r="D534" s="355">
        <f aca="true" t="shared" si="27" ref="D534:D541">C534-B534</f>
        <v>-0.008000000000000007</v>
      </c>
      <c r="E534" s="356">
        <f>B534/C534</f>
        <v>1.0377358490566038</v>
      </c>
      <c r="F534" s="206"/>
      <c r="G534" s="206"/>
      <c r="H534" s="201"/>
      <c r="I534" s="201"/>
      <c r="J534" s="208"/>
      <c r="K534" s="41"/>
    </row>
    <row r="535" spans="1:11" s="5" customFormat="1" ht="29.25" customHeight="1">
      <c r="A535" s="240" t="s">
        <v>29</v>
      </c>
      <c r="B535" s="629">
        <v>1.232</v>
      </c>
      <c r="C535" s="629">
        <v>1.328</v>
      </c>
      <c r="D535" s="355">
        <f t="shared" si="27"/>
        <v>0.09600000000000009</v>
      </c>
      <c r="E535" s="356">
        <f>B535/C535</f>
        <v>0.927710843373494</v>
      </c>
      <c r="F535" s="206"/>
      <c r="G535" s="206"/>
      <c r="H535" s="201"/>
      <c r="I535" s="201"/>
      <c r="J535" s="208"/>
      <c r="K535" s="41"/>
    </row>
    <row r="536" spans="1:11" s="5" customFormat="1" ht="63.75">
      <c r="A536" s="240" t="s">
        <v>30</v>
      </c>
      <c r="B536" s="630">
        <v>90</v>
      </c>
      <c r="C536" s="740">
        <v>89.4</v>
      </c>
      <c r="D536" s="355">
        <f t="shared" si="27"/>
        <v>-0.5999999999999943</v>
      </c>
      <c r="E536" s="356">
        <f aca="true" t="shared" si="28" ref="E536:E541">C536/B536</f>
        <v>0.9933333333333334</v>
      </c>
      <c r="F536" s="206"/>
      <c r="G536" s="206"/>
      <c r="H536" s="206"/>
      <c r="I536" s="206"/>
      <c r="J536" s="208"/>
      <c r="K536" s="41"/>
    </row>
    <row r="537" spans="1:11" s="5" customFormat="1" ht="54" customHeight="1">
      <c r="A537" s="240" t="s">
        <v>18</v>
      </c>
      <c r="B537" s="630">
        <v>100</v>
      </c>
      <c r="C537" s="740">
        <v>100</v>
      </c>
      <c r="D537" s="355">
        <f t="shared" si="27"/>
        <v>0</v>
      </c>
      <c r="E537" s="356">
        <f t="shared" si="28"/>
        <v>1</v>
      </c>
      <c r="F537" s="206"/>
      <c r="G537" s="206"/>
      <c r="H537" s="206"/>
      <c r="I537" s="206"/>
      <c r="J537" s="208"/>
      <c r="K537" s="41"/>
    </row>
    <row r="538" spans="1:11" s="5" customFormat="1" ht="38.25">
      <c r="A538" s="240" t="s">
        <v>19</v>
      </c>
      <c r="B538" s="523">
        <v>100</v>
      </c>
      <c r="C538" s="741">
        <v>100</v>
      </c>
      <c r="D538" s="355">
        <f t="shared" si="27"/>
        <v>0</v>
      </c>
      <c r="E538" s="356">
        <f t="shared" si="28"/>
        <v>1</v>
      </c>
      <c r="F538" s="206"/>
      <c r="G538" s="206"/>
      <c r="H538" s="210"/>
      <c r="I538" s="206"/>
      <c r="J538" s="208"/>
      <c r="K538" s="41"/>
    </row>
    <row r="539" spans="1:11" s="5" customFormat="1" ht="25.5">
      <c r="A539" s="239" t="s">
        <v>314</v>
      </c>
      <c r="B539" s="523">
        <v>1</v>
      </c>
      <c r="C539" s="741">
        <v>1</v>
      </c>
      <c r="D539" s="355">
        <f>C539-B539</f>
        <v>0</v>
      </c>
      <c r="E539" s="356">
        <f>C539/B539</f>
        <v>1</v>
      </c>
      <c r="F539" s="206"/>
      <c r="G539" s="206"/>
      <c r="H539" s="210"/>
      <c r="I539" s="206"/>
      <c r="J539" s="208"/>
      <c r="K539" s="41"/>
    </row>
    <row r="540" spans="1:11" s="5" customFormat="1" ht="24" customHeight="1">
      <c r="A540" s="240" t="s">
        <v>779</v>
      </c>
      <c r="B540" s="354">
        <v>1</v>
      </c>
      <c r="C540" s="354">
        <v>1</v>
      </c>
      <c r="D540" s="355">
        <f t="shared" si="27"/>
        <v>0</v>
      </c>
      <c r="E540" s="356">
        <f t="shared" si="28"/>
        <v>1</v>
      </c>
      <c r="F540" s="206"/>
      <c r="G540" s="206"/>
      <c r="H540" s="210"/>
      <c r="I540" s="206"/>
      <c r="J540" s="208"/>
      <c r="K540" s="41"/>
    </row>
    <row r="541" spans="1:11" s="5" customFormat="1" ht="37.5" customHeight="1">
      <c r="A541" s="240" t="s">
        <v>41</v>
      </c>
      <c r="B541" s="354">
        <v>1</v>
      </c>
      <c r="C541" s="354">
        <v>1</v>
      </c>
      <c r="D541" s="355">
        <f t="shared" si="27"/>
        <v>0</v>
      </c>
      <c r="E541" s="356">
        <f t="shared" si="28"/>
        <v>1</v>
      </c>
      <c r="F541" s="349"/>
      <c r="G541" s="349"/>
      <c r="H541" s="352"/>
      <c r="I541" s="349"/>
      <c r="J541" s="208"/>
      <c r="K541" s="41"/>
    </row>
    <row r="542" spans="1:11" s="5" customFormat="1" ht="12.75">
      <c r="A542" s="421" t="s">
        <v>399</v>
      </c>
      <c r="B542" s="742">
        <f>SUM(B534:B541)</f>
        <v>294.452</v>
      </c>
      <c r="C542" s="742">
        <f>SUM(C534:C541)</f>
        <v>293.94</v>
      </c>
      <c r="D542" s="742">
        <f>SUM(D534:D541)</f>
        <v>-0.5119999999999942</v>
      </c>
      <c r="E542" s="743">
        <f>(SUM(E534:E541))/8</f>
        <v>0.9948475032204289</v>
      </c>
      <c r="F542" s="744">
        <f>SUM(F520:F533)</f>
        <v>15908301.17</v>
      </c>
      <c r="G542" s="744">
        <f>SUM(G520:G533)</f>
        <v>15846650</v>
      </c>
      <c r="H542" s="742">
        <f>(H520+H521+H522+H523+H524+H525+H526+H527+H528+H529+H530+H531+H532+H533)/14</f>
        <v>0.9980675363767778</v>
      </c>
      <c r="I542" s="742">
        <f>E542/H542</f>
        <v>0.9967737321984859</v>
      </c>
      <c r="J542" s="417"/>
      <c r="K542" s="41"/>
    </row>
    <row r="543" spans="1:11" s="5" customFormat="1" ht="21.75" customHeight="1">
      <c r="A543" s="817" t="s">
        <v>574</v>
      </c>
      <c r="B543" s="817"/>
      <c r="C543" s="817"/>
      <c r="D543" s="817"/>
      <c r="E543" s="817"/>
      <c r="F543" s="817"/>
      <c r="G543" s="817"/>
      <c r="H543" s="817"/>
      <c r="I543" s="817"/>
      <c r="J543" s="817"/>
      <c r="K543" s="41"/>
    </row>
    <row r="544" spans="1:11" s="5" customFormat="1" ht="28.5" customHeight="1">
      <c r="A544" s="21" t="s">
        <v>721</v>
      </c>
      <c r="B544" s="8"/>
      <c r="C544" s="8"/>
      <c r="D544" s="13"/>
      <c r="E544" s="13"/>
      <c r="F544" s="12">
        <v>698412</v>
      </c>
      <c r="G544" s="12">
        <v>698412</v>
      </c>
      <c r="H544" s="15">
        <f>G544/F544</f>
        <v>1</v>
      </c>
      <c r="I544" s="8"/>
      <c r="J544" s="48"/>
      <c r="K544" s="41"/>
    </row>
    <row r="545" spans="1:11" s="5" customFormat="1" ht="38.25">
      <c r="A545" s="21" t="s">
        <v>722</v>
      </c>
      <c r="B545" s="8">
        <v>100</v>
      </c>
      <c r="C545" s="8">
        <v>100</v>
      </c>
      <c r="D545" s="13">
        <f>C545-B545</f>
        <v>0</v>
      </c>
      <c r="E545" s="13">
        <f>C545/B545</f>
        <v>1</v>
      </c>
      <c r="F545" s="12"/>
      <c r="G545" s="12"/>
      <c r="H545" s="15"/>
      <c r="I545" s="8"/>
      <c r="J545" s="48"/>
      <c r="K545" s="41"/>
    </row>
    <row r="546" spans="1:11" s="5" customFormat="1" ht="28.5" customHeight="1">
      <c r="A546" s="597" t="s">
        <v>116</v>
      </c>
      <c r="B546" s="8">
        <v>54.05</v>
      </c>
      <c r="C546" s="8">
        <v>60.93</v>
      </c>
      <c r="D546" s="13">
        <f>C546-B546</f>
        <v>6.880000000000003</v>
      </c>
      <c r="E546" s="13">
        <f>C546/B546</f>
        <v>1.1272895467160038</v>
      </c>
      <c r="F546" s="12"/>
      <c r="G546" s="12"/>
      <c r="H546" s="15"/>
      <c r="I546" s="8"/>
      <c r="J546" s="48"/>
      <c r="K546" s="41"/>
    </row>
    <row r="547" spans="1:11" s="5" customFormat="1" ht="16.5" customHeight="1">
      <c r="A547" s="379" t="s">
        <v>300</v>
      </c>
      <c r="B547" s="373">
        <f>B544+B546</f>
        <v>54.05</v>
      </c>
      <c r="C547" s="373">
        <f>C544+C546</f>
        <v>60.93</v>
      </c>
      <c r="D547" s="374">
        <f>C547-B547</f>
        <v>6.880000000000003</v>
      </c>
      <c r="E547" s="374">
        <f>(E545+E546)/2</f>
        <v>1.063644773358002</v>
      </c>
      <c r="F547" s="373">
        <f>F544+F546</f>
        <v>698412</v>
      </c>
      <c r="G547" s="373">
        <f>G544+G546</f>
        <v>698412</v>
      </c>
      <c r="H547" s="374">
        <f>G547/F547</f>
        <v>1</v>
      </c>
      <c r="I547" s="374">
        <f>E547/H547</f>
        <v>1.063644773358002</v>
      </c>
      <c r="J547" s="418"/>
      <c r="K547" s="41"/>
    </row>
    <row r="548" spans="1:11" s="5" customFormat="1" ht="19.5" customHeight="1">
      <c r="A548" s="817" t="s">
        <v>575</v>
      </c>
      <c r="B548" s="817"/>
      <c r="C548" s="817"/>
      <c r="D548" s="817"/>
      <c r="E548" s="817"/>
      <c r="F548" s="817"/>
      <c r="G548" s="817"/>
      <c r="H548" s="817"/>
      <c r="I548" s="817"/>
      <c r="J548" s="817"/>
      <c r="K548" s="41"/>
    </row>
    <row r="549" spans="1:11" s="5" customFormat="1" ht="76.5">
      <c r="A549" s="24" t="s">
        <v>245</v>
      </c>
      <c r="B549" s="9"/>
      <c r="C549" s="9"/>
      <c r="D549" s="9"/>
      <c r="E549" s="10"/>
      <c r="F549" s="674">
        <v>9437549</v>
      </c>
      <c r="G549" s="96">
        <v>9437549</v>
      </c>
      <c r="H549" s="13">
        <f>G549/F549</f>
        <v>1</v>
      </c>
      <c r="I549" s="10"/>
      <c r="J549" s="42"/>
      <c r="K549" s="41"/>
    </row>
    <row r="550" spans="1:11" s="5" customFormat="1" ht="42" customHeight="1">
      <c r="A550" s="24" t="s">
        <v>246</v>
      </c>
      <c r="B550" s="9"/>
      <c r="C550" s="9"/>
      <c r="D550" s="9"/>
      <c r="E550" s="10"/>
      <c r="F550" s="96">
        <v>3782716</v>
      </c>
      <c r="G550" s="96">
        <v>3782716</v>
      </c>
      <c r="H550" s="13">
        <f>G550/F550</f>
        <v>1</v>
      </c>
      <c r="I550" s="10"/>
      <c r="J550" s="42"/>
      <c r="K550" s="41"/>
    </row>
    <row r="551" spans="1:11" s="5" customFormat="1" ht="25.5">
      <c r="A551" s="24" t="s">
        <v>493</v>
      </c>
      <c r="B551" s="3">
        <v>52</v>
      </c>
      <c r="C551" s="3">
        <v>54</v>
      </c>
      <c r="D551" s="8">
        <f>C551-B551</f>
        <v>2</v>
      </c>
      <c r="E551" s="13">
        <f>C551/B551</f>
        <v>1.0384615384615385</v>
      </c>
      <c r="F551" s="20"/>
      <c r="G551" s="20"/>
      <c r="H551" s="10"/>
      <c r="I551" s="10"/>
      <c r="J551" s="42"/>
      <c r="K551" s="41"/>
    </row>
    <row r="552" spans="1:11" s="5" customFormat="1" ht="51">
      <c r="A552" s="24" t="s">
        <v>247</v>
      </c>
      <c r="B552" s="8">
        <v>100</v>
      </c>
      <c r="C552" s="8">
        <v>100</v>
      </c>
      <c r="D552" s="8">
        <f>C552-B552</f>
        <v>0</v>
      </c>
      <c r="E552" s="13">
        <f>C552/B552</f>
        <v>1</v>
      </c>
      <c r="F552" s="20"/>
      <c r="G552" s="20"/>
      <c r="H552" s="10"/>
      <c r="I552" s="10"/>
      <c r="J552" s="42"/>
      <c r="K552" s="41"/>
    </row>
    <row r="553" spans="1:11" s="5" customFormat="1" ht="25.5">
      <c r="A553" s="24" t="s">
        <v>248</v>
      </c>
      <c r="B553" s="8">
        <v>23</v>
      </c>
      <c r="C553" s="8">
        <v>23</v>
      </c>
      <c r="D553" s="8">
        <f>C553-B553</f>
        <v>0</v>
      </c>
      <c r="E553" s="13">
        <f>C553/B553</f>
        <v>1</v>
      </c>
      <c r="F553" s="20"/>
      <c r="G553" s="20"/>
      <c r="H553" s="10"/>
      <c r="I553" s="10"/>
      <c r="J553" s="42"/>
      <c r="K553" s="41"/>
    </row>
    <row r="554" spans="1:11" s="5" customFormat="1" ht="63.75">
      <c r="A554" s="24" t="s">
        <v>201</v>
      </c>
      <c r="B554" s="8">
        <v>77</v>
      </c>
      <c r="C554" s="8">
        <v>77</v>
      </c>
      <c r="D554" s="8">
        <f>C554-B554</f>
        <v>0</v>
      </c>
      <c r="E554" s="13">
        <f>C554/B554</f>
        <v>1</v>
      </c>
      <c r="F554" s="20"/>
      <c r="G554" s="20"/>
      <c r="H554" s="10"/>
      <c r="I554" s="10"/>
      <c r="J554" s="42"/>
      <c r="K554" s="41"/>
    </row>
    <row r="555" spans="1:11" s="5" customFormat="1" ht="12.75">
      <c r="A555" s="379" t="s">
        <v>302</v>
      </c>
      <c r="B555" s="379">
        <f>SUM(B549:B554)</f>
        <v>252</v>
      </c>
      <c r="C555" s="379">
        <f>SUM(C549:C554)</f>
        <v>254</v>
      </c>
      <c r="D555" s="379">
        <f>C555-B555</f>
        <v>2</v>
      </c>
      <c r="E555" s="383">
        <f>(E551+E552+E553+E554)/4</f>
        <v>1.0096153846153846</v>
      </c>
      <c r="F555" s="419">
        <f>SUM(F549:F550)</f>
        <v>13220265</v>
      </c>
      <c r="G555" s="419">
        <f>SUM(G549:G550)</f>
        <v>13220265</v>
      </c>
      <c r="H555" s="383">
        <f>(H549+H550)/2</f>
        <v>1</v>
      </c>
      <c r="I555" s="383">
        <f>E555/H555</f>
        <v>1.0096153846153846</v>
      </c>
      <c r="J555" s="386"/>
      <c r="K555" s="41"/>
    </row>
    <row r="556" spans="1:11" s="43" customFormat="1" ht="15">
      <c r="A556" s="817" t="s">
        <v>743</v>
      </c>
      <c r="B556" s="817"/>
      <c r="C556" s="817"/>
      <c r="D556" s="817"/>
      <c r="E556" s="817"/>
      <c r="F556" s="817"/>
      <c r="G556" s="817"/>
      <c r="H556" s="817"/>
      <c r="I556" s="817"/>
      <c r="J556" s="817"/>
      <c r="K556" s="55"/>
    </row>
    <row r="557" spans="1:11" s="5" customFormat="1" ht="76.5">
      <c r="A557" s="24" t="s">
        <v>386</v>
      </c>
      <c r="B557" s="53"/>
      <c r="C557" s="53"/>
      <c r="D557" s="53"/>
      <c r="E557" s="54"/>
      <c r="F557" s="12">
        <v>2330201.98</v>
      </c>
      <c r="G557" s="12">
        <v>2330201.98</v>
      </c>
      <c r="H557" s="13">
        <f>G557/F557</f>
        <v>1</v>
      </c>
      <c r="I557" s="54"/>
      <c r="J557" s="53"/>
      <c r="K557" s="41"/>
    </row>
    <row r="558" spans="1:11" s="5" customFormat="1" ht="38.25">
      <c r="A558" s="24" t="s">
        <v>337</v>
      </c>
      <c r="B558" s="8">
        <v>6</v>
      </c>
      <c r="C558" s="8">
        <v>6</v>
      </c>
      <c r="D558" s="631">
        <f aca="true" t="shared" si="29" ref="D558:D567">C558-B558</f>
        <v>0</v>
      </c>
      <c r="E558" s="220">
        <f aca="true" t="shared" si="30" ref="E558:E567">C558/B558</f>
        <v>1</v>
      </c>
      <c r="F558" s="54"/>
      <c r="G558" s="54"/>
      <c r="H558" s="54"/>
      <c r="I558" s="54"/>
      <c r="J558" s="53"/>
      <c r="K558" s="41"/>
    </row>
    <row r="559" spans="1:11" s="5" customFormat="1" ht="38.25">
      <c r="A559" s="24" t="s">
        <v>601</v>
      </c>
      <c r="B559" s="8">
        <v>5</v>
      </c>
      <c r="C559" s="8">
        <v>5</v>
      </c>
      <c r="D559" s="631">
        <f>C559-B559</f>
        <v>0</v>
      </c>
      <c r="E559" s="220">
        <f>C559/B559</f>
        <v>1</v>
      </c>
      <c r="F559" s="54"/>
      <c r="G559" s="54"/>
      <c r="H559" s="54"/>
      <c r="I559" s="54"/>
      <c r="J559" s="53"/>
      <c r="K559" s="41"/>
    </row>
    <row r="560" spans="1:11" s="5" customFormat="1" ht="63.75">
      <c r="A560" s="24" t="s">
        <v>602</v>
      </c>
      <c r="B560" s="8">
        <v>3</v>
      </c>
      <c r="C560" s="8">
        <v>6</v>
      </c>
      <c r="D560" s="631">
        <f t="shared" si="29"/>
        <v>3</v>
      </c>
      <c r="E560" s="220">
        <f t="shared" si="30"/>
        <v>2</v>
      </c>
      <c r="F560" s="10"/>
      <c r="G560" s="10"/>
      <c r="H560" s="10"/>
      <c r="I560" s="10"/>
      <c r="J560" s="42"/>
      <c r="K560" s="41"/>
    </row>
    <row r="561" spans="1:11" s="5" customFormat="1" ht="38.25">
      <c r="A561" s="24" t="s">
        <v>603</v>
      </c>
      <c r="B561" s="8">
        <v>27</v>
      </c>
      <c r="C561" s="8">
        <v>28</v>
      </c>
      <c r="D561" s="631">
        <f t="shared" si="29"/>
        <v>1</v>
      </c>
      <c r="E561" s="220">
        <f t="shared" si="30"/>
        <v>1.037037037037037</v>
      </c>
      <c r="F561" s="10"/>
      <c r="G561" s="10"/>
      <c r="H561" s="10"/>
      <c r="I561" s="10"/>
      <c r="J561" s="42"/>
      <c r="K561" s="41"/>
    </row>
    <row r="562" spans="1:11" s="5" customFormat="1" ht="38.25">
      <c r="A562" s="24" t="s">
        <v>604</v>
      </c>
      <c r="B562" s="8">
        <v>12</v>
      </c>
      <c r="C562" s="8">
        <v>2</v>
      </c>
      <c r="D562" s="631">
        <f t="shared" si="29"/>
        <v>-10</v>
      </c>
      <c r="E562" s="220">
        <f t="shared" si="30"/>
        <v>0.16666666666666666</v>
      </c>
      <c r="F562" s="10"/>
      <c r="G562" s="10"/>
      <c r="H562" s="10"/>
      <c r="I562" s="10"/>
      <c r="J562" s="46" t="s">
        <v>387</v>
      </c>
      <c r="K562" s="41"/>
    </row>
    <row r="563" spans="1:11" s="5" customFormat="1" ht="42.75" customHeight="1">
      <c r="A563" s="24" t="s">
        <v>605</v>
      </c>
      <c r="B563" s="8">
        <v>14</v>
      </c>
      <c r="C563" s="8">
        <v>14</v>
      </c>
      <c r="D563" s="631">
        <f t="shared" si="29"/>
        <v>0</v>
      </c>
      <c r="E563" s="220">
        <f t="shared" si="30"/>
        <v>1</v>
      </c>
      <c r="F563" s="10"/>
      <c r="G563" s="10"/>
      <c r="H563" s="10"/>
      <c r="I563" s="10"/>
      <c r="J563" s="42"/>
      <c r="K563" s="41"/>
    </row>
    <row r="564" spans="1:11" s="5" customFormat="1" ht="39" customHeight="1">
      <c r="A564" s="24" t="s">
        <v>606</v>
      </c>
      <c r="B564" s="8">
        <v>16</v>
      </c>
      <c r="C564" s="8">
        <v>28</v>
      </c>
      <c r="D564" s="631">
        <f t="shared" si="29"/>
        <v>12</v>
      </c>
      <c r="E564" s="220">
        <f t="shared" si="30"/>
        <v>1.75</v>
      </c>
      <c r="F564" s="10"/>
      <c r="G564" s="10"/>
      <c r="H564" s="10"/>
      <c r="I564" s="10"/>
      <c r="J564" s="42"/>
      <c r="K564" s="41"/>
    </row>
    <row r="565" spans="1:12" s="5" customFormat="1" ht="39.75" customHeight="1">
      <c r="A565" s="24" t="s">
        <v>607</v>
      </c>
      <c r="B565" s="8">
        <v>16</v>
      </c>
      <c r="C565" s="8">
        <v>16</v>
      </c>
      <c r="D565" s="631">
        <f t="shared" si="29"/>
        <v>0</v>
      </c>
      <c r="E565" s="220">
        <f t="shared" si="30"/>
        <v>1</v>
      </c>
      <c r="F565" s="10"/>
      <c r="G565" s="10"/>
      <c r="H565" s="10"/>
      <c r="I565" s="10"/>
      <c r="J565" s="42"/>
      <c r="K565" s="41"/>
      <c r="L565" s="41"/>
    </row>
    <row r="566" spans="1:11" s="5" customFormat="1" ht="63.75">
      <c r="A566" s="24" t="s">
        <v>274</v>
      </c>
      <c r="B566" s="8">
        <v>2</v>
      </c>
      <c r="C566" s="8">
        <v>2</v>
      </c>
      <c r="D566" s="631">
        <f t="shared" si="29"/>
        <v>0</v>
      </c>
      <c r="E566" s="220">
        <f t="shared" si="30"/>
        <v>1</v>
      </c>
      <c r="F566" s="10"/>
      <c r="G566" s="10"/>
      <c r="H566" s="10"/>
      <c r="I566" s="10"/>
      <c r="J566" s="42"/>
      <c r="K566" s="41"/>
    </row>
    <row r="567" spans="1:12" s="5" customFormat="1" ht="76.5">
      <c r="A567" s="24" t="s">
        <v>385</v>
      </c>
      <c r="B567" s="8">
        <v>6</v>
      </c>
      <c r="C567" s="8">
        <v>8</v>
      </c>
      <c r="D567" s="631">
        <f t="shared" si="29"/>
        <v>2</v>
      </c>
      <c r="E567" s="220">
        <f t="shared" si="30"/>
        <v>1.3333333333333333</v>
      </c>
      <c r="F567" s="10"/>
      <c r="G567" s="10"/>
      <c r="H567" s="10"/>
      <c r="I567" s="10"/>
      <c r="J567" s="42"/>
      <c r="K567" s="41"/>
      <c r="L567" s="41"/>
    </row>
    <row r="568" spans="1:11" s="5" customFormat="1" ht="12.75">
      <c r="A568" s="379" t="s">
        <v>400</v>
      </c>
      <c r="B568" s="379">
        <f>SUM(B558:B567)</f>
        <v>107</v>
      </c>
      <c r="C568" s="379">
        <f>SUM(C558:C567)</f>
        <v>115</v>
      </c>
      <c r="D568" s="463">
        <f>C568-B568</f>
        <v>8</v>
      </c>
      <c r="E568" s="464">
        <f>SUM(E558:E567)/10</f>
        <v>1.1287037037037038</v>
      </c>
      <c r="F568" s="385">
        <f>F557</f>
        <v>2330201.98</v>
      </c>
      <c r="G568" s="385">
        <f>G557</f>
        <v>2330201.98</v>
      </c>
      <c r="H568" s="465">
        <f>G568/F568</f>
        <v>1</v>
      </c>
      <c r="I568" s="465">
        <f>E568/H568</f>
        <v>1.1287037037037038</v>
      </c>
      <c r="J568" s="379"/>
      <c r="K568" s="41"/>
    </row>
    <row r="569" spans="1:11" s="5" customFormat="1" ht="15.75" customHeight="1">
      <c r="A569" s="817" t="s">
        <v>744</v>
      </c>
      <c r="B569" s="817"/>
      <c r="C569" s="817"/>
      <c r="D569" s="817"/>
      <c r="E569" s="817"/>
      <c r="F569" s="817"/>
      <c r="G569" s="817"/>
      <c r="H569" s="817"/>
      <c r="I569" s="817"/>
      <c r="J569" s="817"/>
      <c r="K569" s="41"/>
    </row>
    <row r="570" spans="1:11" s="5" customFormat="1" ht="138" customHeight="1">
      <c r="A570" s="745" t="s">
        <v>287</v>
      </c>
      <c r="B570" s="66"/>
      <c r="C570" s="66"/>
      <c r="D570" s="348"/>
      <c r="E570" s="10"/>
      <c r="F570" s="50">
        <v>3300000</v>
      </c>
      <c r="G570" s="50">
        <v>3010434</v>
      </c>
      <c r="H570" s="20">
        <f>G570/F570</f>
        <v>0.9122527272727273</v>
      </c>
      <c r="I570" s="10"/>
      <c r="J570" s="42" t="s">
        <v>718</v>
      </c>
      <c r="K570" s="41"/>
    </row>
    <row r="571" spans="1:11" s="5" customFormat="1" ht="25.5">
      <c r="A571" s="239" t="s">
        <v>719</v>
      </c>
      <c r="B571" s="523">
        <v>9</v>
      </c>
      <c r="C571" s="523">
        <v>9</v>
      </c>
      <c r="D571" s="354">
        <f>C571-B571</f>
        <v>0</v>
      </c>
      <c r="E571" s="627">
        <f>C571/B571</f>
        <v>1</v>
      </c>
      <c r="F571" s="207"/>
      <c r="G571" s="207"/>
      <c r="H571" s="309"/>
      <c r="I571" s="309"/>
      <c r="J571" s="9"/>
      <c r="K571" s="41"/>
    </row>
    <row r="572" spans="1:11" s="5" customFormat="1" ht="12.75">
      <c r="A572" s="239" t="s">
        <v>474</v>
      </c>
      <c r="B572" s="523">
        <v>1</v>
      </c>
      <c r="C572" s="523">
        <v>9</v>
      </c>
      <c r="D572" s="354">
        <f>C572-B572</f>
        <v>8</v>
      </c>
      <c r="E572" s="627">
        <f>C572/B572</f>
        <v>9</v>
      </c>
      <c r="F572" s="207"/>
      <c r="G572" s="207"/>
      <c r="H572" s="309"/>
      <c r="I572" s="309"/>
      <c r="J572" s="9"/>
      <c r="K572" s="41"/>
    </row>
    <row r="573" spans="1:11" s="5" customFormat="1" ht="25.5">
      <c r="A573" s="239" t="s">
        <v>720</v>
      </c>
      <c r="B573" s="523">
        <v>1</v>
      </c>
      <c r="C573" s="523">
        <v>1</v>
      </c>
      <c r="D573" s="354">
        <f>C573-B573</f>
        <v>0</v>
      </c>
      <c r="E573" s="627">
        <f>C573/B573</f>
        <v>1</v>
      </c>
      <c r="F573" s="207"/>
      <c r="G573" s="207"/>
      <c r="H573" s="309"/>
      <c r="I573" s="309"/>
      <c r="J573" s="9"/>
      <c r="K573" s="41"/>
    </row>
    <row r="574" spans="1:11" s="5" customFormat="1" ht="15.75">
      <c r="A574" s="421" t="s">
        <v>401</v>
      </c>
      <c r="B574" s="403">
        <f>SUM(B571:B571)</f>
        <v>9</v>
      </c>
      <c r="C574" s="403">
        <f>SUM(C571:C571)</f>
        <v>9</v>
      </c>
      <c r="D574" s="403">
        <f>C574-B574</f>
        <v>0</v>
      </c>
      <c r="E574" s="405">
        <f>C574/B574</f>
        <v>1</v>
      </c>
      <c r="F574" s="403">
        <f>SUM(F570:F571)</f>
        <v>3300000</v>
      </c>
      <c r="G574" s="403">
        <f>SUM(G570:G571)</f>
        <v>3010434</v>
      </c>
      <c r="H574" s="403">
        <f>H570</f>
        <v>0.9122527272727273</v>
      </c>
      <c r="I574" s="405">
        <f>E574/H574</f>
        <v>1.096187460014071</v>
      </c>
      <c r="J574" s="420"/>
      <c r="K574" s="41"/>
    </row>
    <row r="575" spans="1:11" s="5" customFormat="1" ht="12.75">
      <c r="A575" s="789" t="s">
        <v>745</v>
      </c>
      <c r="B575" s="789"/>
      <c r="C575" s="789"/>
      <c r="D575" s="789"/>
      <c r="E575" s="789"/>
      <c r="F575" s="789"/>
      <c r="G575" s="789"/>
      <c r="H575" s="789"/>
      <c r="I575" s="789"/>
      <c r="J575" s="789"/>
      <c r="K575" s="41"/>
    </row>
    <row r="576" spans="1:11" s="5" customFormat="1" ht="15.75" customHeight="1">
      <c r="A576" s="806" t="s">
        <v>81</v>
      </c>
      <c r="B576" s="806"/>
      <c r="C576" s="806"/>
      <c r="D576" s="806"/>
      <c r="E576" s="806"/>
      <c r="F576" s="806"/>
      <c r="G576" s="806"/>
      <c r="H576" s="806"/>
      <c r="I576" s="806"/>
      <c r="J576" s="806"/>
      <c r="K576" s="41"/>
    </row>
    <row r="577" spans="1:11" s="5" customFormat="1" ht="38.25">
      <c r="A577" s="357" t="s">
        <v>519</v>
      </c>
      <c r="B577" s="523">
        <v>12</v>
      </c>
      <c r="C577" s="523">
        <v>30</v>
      </c>
      <c r="D577" s="523">
        <v>18</v>
      </c>
      <c r="E577" s="15">
        <f>C577/B577</f>
        <v>2.5</v>
      </c>
      <c r="F577" s="59"/>
      <c r="G577" s="59"/>
      <c r="H577" s="59"/>
      <c r="I577" s="59"/>
      <c r="J577" s="59"/>
      <c r="K577" s="41"/>
    </row>
    <row r="578" spans="1:11" s="5" customFormat="1" ht="12.75">
      <c r="A578" s="358" t="s">
        <v>82</v>
      </c>
      <c r="B578" s="632">
        <f>B577</f>
        <v>12</v>
      </c>
      <c r="C578" s="632">
        <f>C577</f>
        <v>30</v>
      </c>
      <c r="D578" s="632">
        <f>C578-B578</f>
        <v>18</v>
      </c>
      <c r="E578" s="633">
        <f>C578/B578</f>
        <v>2.5</v>
      </c>
      <c r="F578" s="60"/>
      <c r="G578" s="60"/>
      <c r="H578" s="60"/>
      <c r="I578" s="60"/>
      <c r="J578" s="60"/>
      <c r="K578" s="41"/>
    </row>
    <row r="579" spans="1:11" s="5" customFormat="1" ht="29.25" customHeight="1">
      <c r="A579" s="806" t="s">
        <v>83</v>
      </c>
      <c r="B579" s="806"/>
      <c r="C579" s="806"/>
      <c r="D579" s="806"/>
      <c r="E579" s="806"/>
      <c r="F579" s="806"/>
      <c r="G579" s="806"/>
      <c r="H579" s="806"/>
      <c r="I579" s="806"/>
      <c r="J579" s="806"/>
      <c r="K579" s="41"/>
    </row>
    <row r="580" spans="1:11" s="5" customFormat="1" ht="51">
      <c r="A580" s="357" t="s">
        <v>520</v>
      </c>
      <c r="B580" s="523">
        <v>0</v>
      </c>
      <c r="C580" s="523">
        <v>0</v>
      </c>
      <c r="D580" s="523">
        <v>0</v>
      </c>
      <c r="E580" s="629">
        <v>1</v>
      </c>
      <c r="F580" s="56"/>
      <c r="G580" s="56"/>
      <c r="H580" s="56"/>
      <c r="I580" s="56"/>
      <c r="J580" s="56"/>
      <c r="K580" s="41"/>
    </row>
    <row r="581" spans="1:11" s="5" customFormat="1" ht="12.75">
      <c r="A581" s="358" t="s">
        <v>559</v>
      </c>
      <c r="B581" s="60">
        <v>0</v>
      </c>
      <c r="C581" s="60">
        <v>0</v>
      </c>
      <c r="D581" s="60">
        <v>0</v>
      </c>
      <c r="E581" s="360">
        <v>1</v>
      </c>
      <c r="F581" s="60"/>
      <c r="G581" s="60"/>
      <c r="H581" s="60"/>
      <c r="I581" s="60"/>
      <c r="J581" s="60"/>
      <c r="K581" s="41"/>
    </row>
    <row r="582" spans="1:11" s="5" customFormat="1" ht="12.75">
      <c r="A582" s="806" t="s">
        <v>84</v>
      </c>
      <c r="B582" s="806"/>
      <c r="C582" s="806"/>
      <c r="D582" s="806"/>
      <c r="E582" s="806"/>
      <c r="F582" s="806"/>
      <c r="G582" s="806"/>
      <c r="H582" s="806"/>
      <c r="I582" s="806"/>
      <c r="J582" s="806"/>
      <c r="K582" s="41"/>
    </row>
    <row r="583" spans="1:11" s="5" customFormat="1" ht="16.5" customHeight="1">
      <c r="A583" s="357" t="s">
        <v>521</v>
      </c>
      <c r="B583" s="59">
        <v>12</v>
      </c>
      <c r="C583" s="59">
        <v>28</v>
      </c>
      <c r="D583" s="59">
        <f>C583-B583</f>
        <v>16</v>
      </c>
      <c r="E583" s="481">
        <f>C583/B583</f>
        <v>2.3333333333333335</v>
      </c>
      <c r="F583" s="56"/>
      <c r="G583" s="56"/>
      <c r="H583" s="56"/>
      <c r="I583" s="56"/>
      <c r="J583" s="59"/>
      <c r="K583" s="41"/>
    </row>
    <row r="584" spans="1:11" s="5" customFormat="1" ht="16.5" customHeight="1">
      <c r="A584" s="357" t="s">
        <v>522</v>
      </c>
      <c r="B584" s="59">
        <v>200</v>
      </c>
      <c r="C584" s="59">
        <v>250</v>
      </c>
      <c r="D584" s="59">
        <f>C584-B584</f>
        <v>50</v>
      </c>
      <c r="E584" s="59">
        <f>C584/B584</f>
        <v>1.25</v>
      </c>
      <c r="F584" s="56"/>
      <c r="G584" s="56"/>
      <c r="H584" s="56"/>
      <c r="I584" s="56"/>
      <c r="J584" s="56"/>
      <c r="K584" s="41"/>
    </row>
    <row r="585" spans="1:11" s="5" customFormat="1" ht="63.75">
      <c r="A585" s="357" t="s">
        <v>523</v>
      </c>
      <c r="B585" s="56"/>
      <c r="C585" s="56"/>
      <c r="D585" s="56"/>
      <c r="E585" s="56"/>
      <c r="F585" s="634">
        <v>10000</v>
      </c>
      <c r="G585" s="634">
        <v>10000</v>
      </c>
      <c r="H585" s="629">
        <f>G585/F585</f>
        <v>1</v>
      </c>
      <c r="I585" s="59"/>
      <c r="J585" s="599"/>
      <c r="K585" s="41"/>
    </row>
    <row r="586" spans="1:11" s="5" customFormat="1" ht="15.75">
      <c r="A586" s="358" t="s">
        <v>85</v>
      </c>
      <c r="B586" s="60">
        <f>B583+B584</f>
        <v>212</v>
      </c>
      <c r="C586" s="60">
        <f>C583+C584</f>
        <v>278</v>
      </c>
      <c r="D586" s="60">
        <f>C586-B586</f>
        <v>66</v>
      </c>
      <c r="E586" s="360">
        <f>(E583+E584)/2</f>
        <v>1.7916666666666667</v>
      </c>
      <c r="F586" s="359">
        <v>10000</v>
      </c>
      <c r="G586" s="359">
        <f>G585</f>
        <v>10000</v>
      </c>
      <c r="H586" s="360">
        <v>1</v>
      </c>
      <c r="I586" s="360">
        <f>E586/H586</f>
        <v>1.7916666666666667</v>
      </c>
      <c r="J586" s="57"/>
      <c r="K586" s="41"/>
    </row>
    <row r="587" spans="1:11" s="5" customFormat="1" ht="16.5" customHeight="1">
      <c r="A587" s="379" t="s">
        <v>273</v>
      </c>
      <c r="B587" s="422">
        <f>B578+B581+B586</f>
        <v>224</v>
      </c>
      <c r="C587" s="422">
        <f>C578+C581+C586</f>
        <v>308</v>
      </c>
      <c r="D587" s="422">
        <f>C587-B587</f>
        <v>84</v>
      </c>
      <c r="E587" s="423">
        <f>(E578+E581+E586)/3</f>
        <v>1.763888888888889</v>
      </c>
      <c r="F587" s="424">
        <f>F586</f>
        <v>10000</v>
      </c>
      <c r="G587" s="424">
        <v>10000</v>
      </c>
      <c r="H587" s="423">
        <v>1</v>
      </c>
      <c r="I587" s="423">
        <f>E587/H587</f>
        <v>1.763888888888889</v>
      </c>
      <c r="J587" s="425"/>
      <c r="K587" s="41"/>
    </row>
    <row r="588" spans="1:11" s="5" customFormat="1" ht="12.75">
      <c r="A588" s="839" t="s">
        <v>746</v>
      </c>
      <c r="B588" s="840"/>
      <c r="C588" s="840"/>
      <c r="D588" s="840"/>
      <c r="E588" s="840"/>
      <c r="F588" s="840"/>
      <c r="G588" s="840"/>
      <c r="H588" s="840"/>
      <c r="I588" s="840"/>
      <c r="J588" s="840"/>
      <c r="K588" s="41"/>
    </row>
    <row r="589" spans="1:11" s="5" customFormat="1" ht="51">
      <c r="A589" s="224" t="s">
        <v>595</v>
      </c>
      <c r="B589" s="57"/>
      <c r="C589" s="57"/>
      <c r="D589" s="57"/>
      <c r="E589" s="57"/>
      <c r="F589" s="756">
        <v>1043000</v>
      </c>
      <c r="G589" s="756">
        <v>1043000</v>
      </c>
      <c r="H589" s="183">
        <f>G589/F589</f>
        <v>1</v>
      </c>
      <c r="I589" s="186"/>
      <c r="J589" s="186"/>
      <c r="K589" s="41"/>
    </row>
    <row r="590" spans="1:11" s="5" customFormat="1" ht="50.25" customHeight="1">
      <c r="A590" s="224" t="s">
        <v>594</v>
      </c>
      <c r="B590" s="3">
        <v>90</v>
      </c>
      <c r="C590" s="3">
        <v>90</v>
      </c>
      <c r="D590" s="523">
        <f>C590-B590</f>
        <v>0</v>
      </c>
      <c r="E590" s="629">
        <f>C590/B590</f>
        <v>1</v>
      </c>
      <c r="F590" s="57"/>
      <c r="G590" s="305"/>
      <c r="H590" s="58"/>
      <c r="I590" s="57"/>
      <c r="J590" s="57"/>
      <c r="K590" s="41"/>
    </row>
    <row r="591" spans="1:11" s="5" customFormat="1" ht="15.75">
      <c r="A591" s="466" t="s">
        <v>402</v>
      </c>
      <c r="B591" s="422">
        <f>B590</f>
        <v>90</v>
      </c>
      <c r="C591" s="422">
        <f>C590</f>
        <v>90</v>
      </c>
      <c r="D591" s="422">
        <f>C591-B591</f>
        <v>0</v>
      </c>
      <c r="E591" s="423">
        <f>C591/B591</f>
        <v>1</v>
      </c>
      <c r="F591" s="426">
        <f>F589</f>
        <v>1043000</v>
      </c>
      <c r="G591" s="426">
        <f>G589</f>
        <v>1043000</v>
      </c>
      <c r="H591" s="423">
        <f>G591/F591</f>
        <v>1</v>
      </c>
      <c r="I591" s="423">
        <f>E591/H591</f>
        <v>1</v>
      </c>
      <c r="J591" s="425"/>
      <c r="K591" s="41"/>
    </row>
    <row r="592" spans="1:13" s="5" customFormat="1" ht="15.75">
      <c r="A592" s="513" t="s">
        <v>194</v>
      </c>
      <c r="B592" s="482"/>
      <c r="C592" s="482"/>
      <c r="D592" s="482"/>
      <c r="E592" s="483"/>
      <c r="F592" s="757">
        <f>F33+F81+F97+F155+F178+F209+F277+F286+F287+F300+F323+F331+F370+F410+F491+F518+F542+F547+F555+F568+F574+F587+F591</f>
        <v>1839217534.3900003</v>
      </c>
      <c r="G592" s="757">
        <f>G33+G81+G97+G155+G178+G209+G277+G286+G287+G300+G323+G331+G370+G410+G491+G518+G542+G547+G555+G568+G574+G587+G591</f>
        <v>1697909539.0100002</v>
      </c>
      <c r="H592" s="484">
        <f>G592/F592</f>
        <v>0.9231695040212485</v>
      </c>
      <c r="I592" s="485">
        <f>(I33+I81+I97+I155+I178+I209+I277+I287+I300+I323+I331+I370+I410+I491+I518+I542+I547+I555+I568+I574+_GoBack+I591)/22</f>
        <v>1.1402825504775913</v>
      </c>
      <c r="J592" s="486"/>
      <c r="K592" s="41"/>
      <c r="L592" s="753"/>
      <c r="M592" s="754"/>
    </row>
    <row r="593" spans="1:11" s="5" customFormat="1" ht="25.5">
      <c r="A593" s="357" t="s">
        <v>392</v>
      </c>
      <c r="B593" s="29"/>
      <c r="C593" s="29"/>
      <c r="D593" s="29"/>
      <c r="E593" s="179"/>
      <c r="F593" s="22">
        <f>F592/F828</f>
        <v>0.5115605339273114</v>
      </c>
      <c r="G593" s="22">
        <f>G592/G828</f>
        <v>0.4992831554726937</v>
      </c>
      <c r="H593" s="427"/>
      <c r="I593" s="28"/>
      <c r="J593" s="428"/>
      <c r="K593" s="41"/>
    </row>
    <row r="594" spans="1:11" s="5" customFormat="1" ht="18.75">
      <c r="A594" s="838" t="s">
        <v>396</v>
      </c>
      <c r="B594" s="838"/>
      <c r="C594" s="838"/>
      <c r="D594" s="838"/>
      <c r="E594" s="838"/>
      <c r="F594" s="838"/>
      <c r="G594" s="838"/>
      <c r="H594" s="838"/>
      <c r="I594" s="838"/>
      <c r="J594" s="838"/>
      <c r="K594" s="41"/>
    </row>
    <row r="595" spans="1:11" s="5" customFormat="1" ht="20.25" customHeight="1">
      <c r="A595" s="789" t="s">
        <v>43</v>
      </c>
      <c r="B595" s="789"/>
      <c r="C595" s="789"/>
      <c r="D595" s="789"/>
      <c r="E595" s="789"/>
      <c r="F595" s="789"/>
      <c r="G595" s="789"/>
      <c r="H595" s="789"/>
      <c r="I595" s="789"/>
      <c r="J595" s="789"/>
      <c r="K595" s="41"/>
    </row>
    <row r="596" spans="1:11" s="5" customFormat="1" ht="12.75">
      <c r="A596" s="798" t="s">
        <v>226</v>
      </c>
      <c r="B596" s="798"/>
      <c r="C596" s="798"/>
      <c r="D596" s="798"/>
      <c r="E596" s="798"/>
      <c r="F596" s="798"/>
      <c r="G596" s="798"/>
      <c r="H596" s="798"/>
      <c r="I596" s="798"/>
      <c r="J596" s="798"/>
      <c r="K596" s="41"/>
    </row>
    <row r="597" spans="1:11" s="5" customFormat="1" ht="63.75">
      <c r="A597" s="357" t="s">
        <v>507</v>
      </c>
      <c r="B597" s="9"/>
      <c r="C597" s="9"/>
      <c r="D597" s="100"/>
      <c r="E597" s="101"/>
      <c r="F597" s="20">
        <v>10033700</v>
      </c>
      <c r="G597" s="20">
        <v>10033700</v>
      </c>
      <c r="H597" s="10">
        <f>G597/F597</f>
        <v>1</v>
      </c>
      <c r="I597" s="10"/>
      <c r="J597" s="46"/>
      <c r="K597" s="41"/>
    </row>
    <row r="598" spans="1:11" s="5" customFormat="1" ht="38.25">
      <c r="A598" s="357" t="s">
        <v>148</v>
      </c>
      <c r="B598" s="9">
        <v>11</v>
      </c>
      <c r="C598" s="9">
        <v>11</v>
      </c>
      <c r="D598" s="100">
        <f>C598-B598</f>
        <v>0</v>
      </c>
      <c r="E598" s="101">
        <f>C598/B598</f>
        <v>1</v>
      </c>
      <c r="F598" s="20"/>
      <c r="G598" s="20"/>
      <c r="H598" s="10"/>
      <c r="I598" s="10"/>
      <c r="J598" s="46"/>
      <c r="K598" s="41"/>
    </row>
    <row r="599" spans="1:11" s="5" customFormat="1" ht="12.75">
      <c r="A599" s="358" t="s">
        <v>138</v>
      </c>
      <c r="B599" s="9">
        <f>B598</f>
        <v>11</v>
      </c>
      <c r="C599" s="9">
        <f>C598</f>
        <v>11</v>
      </c>
      <c r="D599" s="100">
        <f>C599-B599</f>
        <v>0</v>
      </c>
      <c r="E599" s="101">
        <f>C599/B599</f>
        <v>1</v>
      </c>
      <c r="F599" s="20">
        <f>F597</f>
        <v>10033700</v>
      </c>
      <c r="G599" s="20">
        <f>G597</f>
        <v>10033700</v>
      </c>
      <c r="H599" s="10">
        <f>G599/F599</f>
        <v>1</v>
      </c>
      <c r="I599" s="10">
        <f>E599/H599</f>
        <v>1</v>
      </c>
      <c r="J599" s="46"/>
      <c r="K599" s="41"/>
    </row>
    <row r="600" spans="1:11" s="5" customFormat="1" ht="25.5">
      <c r="A600" s="357" t="s">
        <v>227</v>
      </c>
      <c r="B600" s="9"/>
      <c r="C600" s="9"/>
      <c r="D600" s="100"/>
      <c r="E600" s="101"/>
      <c r="F600" s="20"/>
      <c r="G600" s="20">
        <f>G599/G608</f>
        <v>0.2642119080967134</v>
      </c>
      <c r="H600" s="10"/>
      <c r="I600" s="10"/>
      <c r="J600" s="46"/>
      <c r="K600" s="41"/>
    </row>
    <row r="601" spans="1:11" s="5" customFormat="1" ht="12.75">
      <c r="A601" s="806" t="s">
        <v>578</v>
      </c>
      <c r="B601" s="841"/>
      <c r="C601" s="841"/>
      <c r="D601" s="841"/>
      <c r="E601" s="841"/>
      <c r="F601" s="841"/>
      <c r="G601" s="841"/>
      <c r="H601" s="841"/>
      <c r="I601" s="841"/>
      <c r="J601" s="841"/>
      <c r="K601" s="41"/>
    </row>
    <row r="602" spans="1:11" s="5" customFormat="1" ht="67.5" customHeight="1">
      <c r="A602" s="357" t="s">
        <v>145</v>
      </c>
      <c r="B602" s="9"/>
      <c r="C602" s="9"/>
      <c r="D602" s="641"/>
      <c r="E602" s="642"/>
      <c r="F602" s="96">
        <v>28633500</v>
      </c>
      <c r="G602" s="96">
        <v>27942256.77</v>
      </c>
      <c r="H602" s="10"/>
      <c r="I602" s="10"/>
      <c r="J602" s="46" t="s">
        <v>230</v>
      </c>
      <c r="K602" s="41"/>
    </row>
    <row r="603" spans="1:11" s="5" customFormat="1" ht="38.25">
      <c r="A603" s="357" t="s">
        <v>145</v>
      </c>
      <c r="B603" s="640">
        <v>392</v>
      </c>
      <c r="C603" s="640">
        <v>416.5</v>
      </c>
      <c r="D603" s="641">
        <f>C603-B603</f>
        <v>24.5</v>
      </c>
      <c r="E603" s="642">
        <f>C603/B603</f>
        <v>1.0625</v>
      </c>
      <c r="F603" s="12"/>
      <c r="G603" s="12"/>
      <c r="H603" s="10"/>
      <c r="I603" s="10"/>
      <c r="J603" s="46"/>
      <c r="K603" s="41"/>
    </row>
    <row r="604" spans="1:11" s="5" customFormat="1" ht="25.5">
      <c r="A604" s="357" t="s">
        <v>146</v>
      </c>
      <c r="B604" s="640">
        <v>392</v>
      </c>
      <c r="C604" s="640">
        <v>416.5</v>
      </c>
      <c r="D604" s="641">
        <f>C604-B604</f>
        <v>24.5</v>
      </c>
      <c r="E604" s="642">
        <f>C604/B604</f>
        <v>1.0625</v>
      </c>
      <c r="F604" s="12"/>
      <c r="G604" s="12"/>
      <c r="H604" s="10"/>
      <c r="I604" s="10"/>
      <c r="J604" s="46"/>
      <c r="K604" s="41"/>
    </row>
    <row r="605" spans="1:11" s="5" customFormat="1" ht="25.5">
      <c r="A605" s="357" t="s">
        <v>147</v>
      </c>
      <c r="B605" s="640">
        <v>31</v>
      </c>
      <c r="C605" s="640">
        <v>31</v>
      </c>
      <c r="D605" s="641">
        <f>C605-B605</f>
        <v>0</v>
      </c>
      <c r="E605" s="642">
        <f>C605/B605</f>
        <v>1</v>
      </c>
      <c r="F605" s="12"/>
      <c r="G605" s="12"/>
      <c r="H605" s="10"/>
      <c r="I605" s="10"/>
      <c r="J605" s="46"/>
      <c r="K605" s="41"/>
    </row>
    <row r="606" spans="1:11" s="5" customFormat="1" ht="12.75">
      <c r="A606" s="358" t="s">
        <v>138</v>
      </c>
      <c r="B606" s="640">
        <f>SUM(B603:B605)</f>
        <v>815</v>
      </c>
      <c r="C606" s="640">
        <f>SUM(C603:C605)</f>
        <v>864</v>
      </c>
      <c r="D606" s="641">
        <f>C606-B606</f>
        <v>49</v>
      </c>
      <c r="E606" s="642">
        <f>SUM(E603:E605)/3</f>
        <v>1.0416666666666667</v>
      </c>
      <c r="F606" s="12">
        <f>F602</f>
        <v>28633500</v>
      </c>
      <c r="G606" s="12">
        <f>G602</f>
        <v>27942256.77</v>
      </c>
      <c r="H606" s="10"/>
      <c r="I606" s="10"/>
      <c r="J606" s="46"/>
      <c r="K606" s="41"/>
    </row>
    <row r="607" spans="1:11" s="5" customFormat="1" ht="25.5">
      <c r="A607" s="357" t="s">
        <v>139</v>
      </c>
      <c r="B607" s="640"/>
      <c r="C607" s="640"/>
      <c r="D607" s="641"/>
      <c r="E607" s="642"/>
      <c r="F607" s="12"/>
      <c r="G607" s="12">
        <f>G606/G608</f>
        <v>0.7357880919032866</v>
      </c>
      <c r="H607" s="10"/>
      <c r="I607" s="10"/>
      <c r="J607" s="46"/>
      <c r="K607" s="41"/>
    </row>
    <row r="608" spans="1:11" s="5" customFormat="1" ht="12.75">
      <c r="A608" s="379" t="s">
        <v>398</v>
      </c>
      <c r="B608" s="379">
        <f>B598</f>
        <v>11</v>
      </c>
      <c r="C608" s="379">
        <f>C598</f>
        <v>11</v>
      </c>
      <c r="D608" s="373">
        <f>C608-B608</f>
        <v>0</v>
      </c>
      <c r="E608" s="374">
        <f>C608/B608</f>
        <v>1</v>
      </c>
      <c r="F608" s="373">
        <f>F599+F606</f>
        <v>38667200</v>
      </c>
      <c r="G608" s="373">
        <f>G599+G606</f>
        <v>37975956.769999996</v>
      </c>
      <c r="H608" s="383">
        <f>G608/F608</f>
        <v>0.9821232664894276</v>
      </c>
      <c r="I608" s="383">
        <f>E608/H608</f>
        <v>1.0182021281040132</v>
      </c>
      <c r="J608" s="386"/>
      <c r="K608" s="41"/>
    </row>
    <row r="609" spans="1:11" s="5" customFormat="1" ht="12.75">
      <c r="A609" s="778" t="s">
        <v>207</v>
      </c>
      <c r="B609" s="778"/>
      <c r="C609" s="778"/>
      <c r="D609" s="778"/>
      <c r="E609" s="778"/>
      <c r="F609" s="778"/>
      <c r="G609" s="778"/>
      <c r="H609" s="778"/>
      <c r="I609" s="778"/>
      <c r="J609" s="778"/>
      <c r="K609" s="41"/>
    </row>
    <row r="610" spans="1:11" s="5" customFormat="1" ht="17.25" customHeight="1">
      <c r="A610" s="798" t="s">
        <v>612</v>
      </c>
      <c r="B610" s="798"/>
      <c r="C610" s="798"/>
      <c r="D610" s="798"/>
      <c r="E610" s="798"/>
      <c r="F610" s="798"/>
      <c r="G610" s="798"/>
      <c r="H610" s="798"/>
      <c r="I610" s="798"/>
      <c r="J610" s="798"/>
      <c r="K610" s="41"/>
    </row>
    <row r="611" spans="1:11" s="5" customFormat="1" ht="12.75">
      <c r="A611" s="26" t="s">
        <v>614</v>
      </c>
      <c r="B611" s="8"/>
      <c r="C611" s="8"/>
      <c r="D611" s="8"/>
      <c r="E611" s="8"/>
      <c r="F611" s="124">
        <v>303000</v>
      </c>
      <c r="G611" s="124">
        <v>303000</v>
      </c>
      <c r="H611" s="125">
        <f>G611/F611</f>
        <v>1</v>
      </c>
      <c r="I611" s="8"/>
      <c r="J611" s="48"/>
      <c r="K611" s="41"/>
    </row>
    <row r="612" spans="1:11" s="5" customFormat="1" ht="38.25">
      <c r="A612" s="166" t="s">
        <v>690</v>
      </c>
      <c r="B612" s="8">
        <v>50</v>
      </c>
      <c r="C612" s="8">
        <v>50</v>
      </c>
      <c r="D612" s="8">
        <v>0</v>
      </c>
      <c r="E612" s="125">
        <v>1</v>
      </c>
      <c r="F612" s="8"/>
      <c r="G612" s="8"/>
      <c r="H612" s="8"/>
      <c r="I612" s="8"/>
      <c r="J612" s="48"/>
      <c r="K612" s="41"/>
    </row>
    <row r="613" spans="1:11" s="5" customFormat="1" ht="51">
      <c r="A613" s="166" t="s">
        <v>543</v>
      </c>
      <c r="B613" s="167">
        <v>5500</v>
      </c>
      <c r="C613" s="167">
        <v>5500</v>
      </c>
      <c r="D613" s="168">
        <f>B613-C613</f>
        <v>0</v>
      </c>
      <c r="E613" s="169">
        <f>C613/B613</f>
        <v>1</v>
      </c>
      <c r="F613" s="170"/>
      <c r="G613" s="170"/>
      <c r="H613" s="170"/>
      <c r="I613" s="171"/>
      <c r="J613" s="172"/>
      <c r="K613" s="41"/>
    </row>
    <row r="614" spans="1:11" s="5" customFormat="1" ht="89.25">
      <c r="A614" s="166" t="s">
        <v>544</v>
      </c>
      <c r="B614" s="167">
        <v>1</v>
      </c>
      <c r="C614" s="167">
        <v>1</v>
      </c>
      <c r="D614" s="8">
        <v>0</v>
      </c>
      <c r="E614" s="125">
        <v>1</v>
      </c>
      <c r="F614" s="170"/>
      <c r="G614" s="170"/>
      <c r="H614" s="170"/>
      <c r="I614" s="171"/>
      <c r="J614" s="172"/>
      <c r="K614" s="41"/>
    </row>
    <row r="615" spans="1:11" s="5" customFormat="1" ht="12.75">
      <c r="A615" s="180" t="s">
        <v>641</v>
      </c>
      <c r="B615" s="535">
        <f>SUM(B612:B614)</f>
        <v>5551</v>
      </c>
      <c r="C615" s="535">
        <f>SUM(C612:C614)</f>
        <v>5551</v>
      </c>
      <c r="D615" s="536">
        <f>C615-B615</f>
        <v>0</v>
      </c>
      <c r="E615" s="537">
        <f>(E612+E613+E614)/3</f>
        <v>1</v>
      </c>
      <c r="F615" s="181">
        <f>F611</f>
        <v>303000</v>
      </c>
      <c r="G615" s="181">
        <f>G611</f>
        <v>303000</v>
      </c>
      <c r="H615" s="537">
        <f>G615/F615</f>
        <v>1</v>
      </c>
      <c r="I615" s="537">
        <f>E615/H615</f>
        <v>1</v>
      </c>
      <c r="J615" s="541"/>
      <c r="K615" s="41"/>
    </row>
    <row r="616" spans="1:11" s="5" customFormat="1" ht="25.5">
      <c r="A616" s="132" t="s">
        <v>628</v>
      </c>
      <c r="B616" s="173"/>
      <c r="C616" s="173"/>
      <c r="D616" s="174"/>
      <c r="E616" s="175"/>
      <c r="F616" s="176"/>
      <c r="G616" s="176">
        <f>G615/G627</f>
        <v>0.06091799191781097</v>
      </c>
      <c r="H616" s="175"/>
      <c r="I616" s="175"/>
      <c r="J616" s="177"/>
      <c r="K616" s="41"/>
    </row>
    <row r="617" spans="1:11" s="5" customFormat="1" ht="12.75">
      <c r="A617" s="790" t="s">
        <v>545</v>
      </c>
      <c r="B617" s="790"/>
      <c r="C617" s="790"/>
      <c r="D617" s="790"/>
      <c r="E617" s="790"/>
      <c r="F617" s="790"/>
      <c r="G617" s="790"/>
      <c r="H617" s="790"/>
      <c r="I617" s="790"/>
      <c r="J617" s="790"/>
      <c r="K617" s="41"/>
    </row>
    <row r="618" spans="1:11" s="5" customFormat="1" ht="51">
      <c r="A618" s="149" t="s">
        <v>635</v>
      </c>
      <c r="B618" s="150"/>
      <c r="C618" s="150"/>
      <c r="D618" s="129"/>
      <c r="E618" s="135"/>
      <c r="F618" s="155">
        <v>256600</v>
      </c>
      <c r="G618" s="155">
        <v>256600</v>
      </c>
      <c r="H618" s="125">
        <f>G618/F618</f>
        <v>1</v>
      </c>
      <c r="I618" s="135"/>
      <c r="J618" s="151"/>
      <c r="K618" s="41"/>
    </row>
    <row r="619" spans="1:11" s="5" customFormat="1" ht="12.75">
      <c r="A619" s="734" t="s">
        <v>615</v>
      </c>
      <c r="B619" s="150">
        <v>348.819</v>
      </c>
      <c r="C619" s="150">
        <v>348.819</v>
      </c>
      <c r="D619" s="173">
        <f>C619-B619</f>
        <v>0</v>
      </c>
      <c r="E619" s="135">
        <f>C619/B619</f>
        <v>1</v>
      </c>
      <c r="F619" s="129"/>
      <c r="G619" s="129"/>
      <c r="H619" s="135"/>
      <c r="I619" s="135"/>
      <c r="J619" s="151"/>
      <c r="K619" s="41"/>
    </row>
    <row r="620" spans="1:11" s="5" customFormat="1" ht="12.75">
      <c r="A620" s="180" t="s">
        <v>88</v>
      </c>
      <c r="B620" s="181">
        <f>SUM(B619:B619)</f>
        <v>348.819</v>
      </c>
      <c r="C620" s="181">
        <f>SUM(C619:C619)</f>
        <v>348.819</v>
      </c>
      <c r="D620" s="536">
        <f>C620-B620</f>
        <v>0</v>
      </c>
      <c r="E620" s="537">
        <f>C620/B620</f>
        <v>1</v>
      </c>
      <c r="F620" s="181">
        <f>F618</f>
        <v>256600</v>
      </c>
      <c r="G620" s="181">
        <f>G618</f>
        <v>256600</v>
      </c>
      <c r="H620" s="537">
        <f>G620/F620</f>
        <v>1</v>
      </c>
      <c r="I620" s="537">
        <f>E620/H620</f>
        <v>1</v>
      </c>
      <c r="J620" s="191"/>
      <c r="K620" s="41"/>
    </row>
    <row r="621" spans="1:11" s="5" customFormat="1" ht="25.5">
      <c r="A621" s="132" t="s">
        <v>89</v>
      </c>
      <c r="B621" s="132"/>
      <c r="C621" s="132"/>
      <c r="D621" s="132"/>
      <c r="E621" s="132"/>
      <c r="F621" s="147"/>
      <c r="G621" s="147">
        <f>G620/G627</f>
        <v>0.051589296125776556</v>
      </c>
      <c r="H621" s="148"/>
      <c r="I621" s="148"/>
      <c r="J621" s="132"/>
      <c r="K621" s="41"/>
    </row>
    <row r="622" spans="1:11" s="5" customFormat="1" ht="12.75">
      <c r="A622" s="746" t="s">
        <v>613</v>
      </c>
      <c r="B622" s="28"/>
      <c r="C622" s="28"/>
      <c r="D622" s="30"/>
      <c r="E622" s="28"/>
      <c r="F622" s="22"/>
      <c r="G622" s="22"/>
      <c r="H622" s="179"/>
      <c r="I622" s="179"/>
      <c r="J622" s="47"/>
      <c r="K622" s="41"/>
    </row>
    <row r="623" spans="1:11" s="5" customFormat="1" ht="63.75">
      <c r="A623" s="209" t="s">
        <v>91</v>
      </c>
      <c r="B623" s="185"/>
      <c r="C623" s="185"/>
      <c r="D623" s="186"/>
      <c r="E623" s="187"/>
      <c r="F623" s="124">
        <v>4414300</v>
      </c>
      <c r="G623" s="183">
        <v>4414300</v>
      </c>
      <c r="H623" s="184">
        <f>G623/F623</f>
        <v>1</v>
      </c>
      <c r="I623" s="188"/>
      <c r="J623" s="189"/>
      <c r="K623" s="41"/>
    </row>
    <row r="624" spans="1:11" s="5" customFormat="1" ht="51">
      <c r="A624" s="132" t="s">
        <v>620</v>
      </c>
      <c r="B624" s="155">
        <v>1</v>
      </c>
      <c r="C624" s="155">
        <v>1</v>
      </c>
      <c r="D624" s="155">
        <f>C624-B624</f>
        <v>0</v>
      </c>
      <c r="E624" s="156">
        <f>C624/B624</f>
        <v>1</v>
      </c>
      <c r="F624" s="124"/>
      <c r="G624" s="183"/>
      <c r="H624" s="184"/>
      <c r="I624" s="188"/>
      <c r="J624" s="189"/>
      <c r="K624" s="41"/>
    </row>
    <row r="625" spans="1:11" s="5" customFormat="1" ht="12.75">
      <c r="A625" s="543" t="s">
        <v>93</v>
      </c>
      <c r="B625" s="544">
        <f>B624</f>
        <v>1</v>
      </c>
      <c r="C625" s="544">
        <f>C624</f>
        <v>1</v>
      </c>
      <c r="D625" s="544">
        <f>C625-B625</f>
        <v>0</v>
      </c>
      <c r="E625" s="545">
        <f>E624</f>
        <v>1</v>
      </c>
      <c r="F625" s="456">
        <f>F623</f>
        <v>4414300</v>
      </c>
      <c r="G625" s="456">
        <f>G623</f>
        <v>4414300</v>
      </c>
      <c r="H625" s="545">
        <f>G625/F625</f>
        <v>1</v>
      </c>
      <c r="I625" s="545">
        <f>E625/H625</f>
        <v>1</v>
      </c>
      <c r="J625" s="172"/>
      <c r="K625" s="41"/>
    </row>
    <row r="626" spans="1:11" s="5" customFormat="1" ht="25.5">
      <c r="A626" s="132" t="s">
        <v>610</v>
      </c>
      <c r="B626" s="170"/>
      <c r="C626" s="170"/>
      <c r="D626" s="170"/>
      <c r="E626" s="171"/>
      <c r="F626" s="542"/>
      <c r="G626" s="542">
        <f>G625/G627</f>
        <v>0.8874927119564124</v>
      </c>
      <c r="H626" s="171"/>
      <c r="I626" s="171"/>
      <c r="J626" s="172"/>
      <c r="K626" s="41"/>
    </row>
    <row r="627" spans="1:11" s="5" customFormat="1" ht="12.75">
      <c r="A627" s="429" t="s">
        <v>616</v>
      </c>
      <c r="B627" s="467"/>
      <c r="C627" s="467"/>
      <c r="D627" s="467"/>
      <c r="E627" s="468">
        <f>(E615+E620+E625)/3</f>
        <v>1</v>
      </c>
      <c r="F627" s="467">
        <f>F615+F620+F625</f>
        <v>4973900</v>
      </c>
      <c r="G627" s="467">
        <f>G615+G620+G625</f>
        <v>4973900</v>
      </c>
      <c r="H627" s="469">
        <f>(H615+H620+H625)/3</f>
        <v>1</v>
      </c>
      <c r="I627" s="469">
        <f>E627/H627</f>
        <v>1</v>
      </c>
      <c r="J627" s="470"/>
      <c r="K627" s="41"/>
    </row>
    <row r="628" spans="1:11" s="5" customFormat="1" ht="12.75">
      <c r="A628" s="789" t="s">
        <v>410</v>
      </c>
      <c r="B628" s="789"/>
      <c r="C628" s="789"/>
      <c r="D628" s="789"/>
      <c r="E628" s="789"/>
      <c r="F628" s="789"/>
      <c r="G628" s="789"/>
      <c r="H628" s="789"/>
      <c r="I628" s="789"/>
      <c r="J628" s="789"/>
      <c r="K628" s="41"/>
    </row>
    <row r="629" spans="1:11" s="5" customFormat="1" ht="51">
      <c r="A629" s="584" t="s">
        <v>598</v>
      </c>
      <c r="B629" s="69"/>
      <c r="C629" s="69"/>
      <c r="D629" s="81"/>
      <c r="E629" s="81"/>
      <c r="F629" s="95">
        <v>463732690</v>
      </c>
      <c r="G629" s="95">
        <v>463732690</v>
      </c>
      <c r="H629" s="665">
        <f aca="true" t="shared" si="31" ref="H629:H650">G629/F629</f>
        <v>1</v>
      </c>
      <c r="I629" s="69"/>
      <c r="J629" s="96"/>
      <c r="K629" s="41"/>
    </row>
    <row r="630" spans="1:11" s="5" customFormat="1" ht="63.75">
      <c r="A630" s="584" t="s">
        <v>599</v>
      </c>
      <c r="B630" s="97"/>
      <c r="C630" s="97"/>
      <c r="D630" s="97"/>
      <c r="E630" s="81"/>
      <c r="F630" s="95">
        <v>15650500</v>
      </c>
      <c r="G630" s="95">
        <v>15650500</v>
      </c>
      <c r="H630" s="665">
        <f t="shared" si="31"/>
        <v>1</v>
      </c>
      <c r="I630" s="69"/>
      <c r="J630" s="77"/>
      <c r="K630" s="41"/>
    </row>
    <row r="631" spans="1:11" s="5" customFormat="1" ht="76.5">
      <c r="A631" s="584" t="s">
        <v>184</v>
      </c>
      <c r="B631" s="90"/>
      <c r="C631" s="90"/>
      <c r="D631" s="90"/>
      <c r="E631" s="81"/>
      <c r="F631" s="95">
        <v>587900</v>
      </c>
      <c r="G631" s="95">
        <v>587900</v>
      </c>
      <c r="H631" s="665">
        <f t="shared" si="31"/>
        <v>1</v>
      </c>
      <c r="I631" s="69"/>
      <c r="J631" s="98"/>
      <c r="K631" s="41"/>
    </row>
    <row r="632" spans="1:11" s="5" customFormat="1" ht="77.25" customHeight="1">
      <c r="A632" s="585" t="s">
        <v>771</v>
      </c>
      <c r="B632" s="90"/>
      <c r="C632" s="90"/>
      <c r="D632" s="90"/>
      <c r="E632" s="81"/>
      <c r="F632" s="95">
        <v>407993220</v>
      </c>
      <c r="G632" s="95">
        <v>407993220</v>
      </c>
      <c r="H632" s="665">
        <f t="shared" si="31"/>
        <v>1</v>
      </c>
      <c r="I632" s="69"/>
      <c r="J632" s="98"/>
      <c r="K632" s="41"/>
    </row>
    <row r="633" spans="1:11" s="5" customFormat="1" ht="63.75">
      <c r="A633" s="586" t="s">
        <v>661</v>
      </c>
      <c r="B633" s="90"/>
      <c r="C633" s="90"/>
      <c r="D633" s="90"/>
      <c r="E633" s="81"/>
      <c r="F633" s="95">
        <v>740310</v>
      </c>
      <c r="G633" s="95">
        <v>740310</v>
      </c>
      <c r="H633" s="665">
        <f t="shared" si="31"/>
        <v>1</v>
      </c>
      <c r="I633" s="69"/>
      <c r="J633" s="98"/>
      <c r="K633" s="41"/>
    </row>
    <row r="634" spans="1:11" s="5" customFormat="1" ht="76.5">
      <c r="A634" s="586" t="s">
        <v>798</v>
      </c>
      <c r="B634" s="90"/>
      <c r="C634" s="90"/>
      <c r="D634" s="90"/>
      <c r="E634" s="81"/>
      <c r="F634" s="95">
        <v>22850100</v>
      </c>
      <c r="G634" s="95">
        <v>22850100</v>
      </c>
      <c r="H634" s="665">
        <f t="shared" si="31"/>
        <v>1</v>
      </c>
      <c r="I634" s="69"/>
      <c r="J634" s="98"/>
      <c r="K634" s="41"/>
    </row>
    <row r="635" spans="1:11" s="5" customFormat="1" ht="89.25">
      <c r="A635" s="584" t="s">
        <v>188</v>
      </c>
      <c r="B635" s="97"/>
      <c r="C635" s="97"/>
      <c r="D635" s="97"/>
      <c r="E635" s="81"/>
      <c r="F635" s="95">
        <v>1909000</v>
      </c>
      <c r="G635" s="95">
        <v>1909000</v>
      </c>
      <c r="H635" s="665">
        <f t="shared" si="31"/>
        <v>1</v>
      </c>
      <c r="I635" s="69"/>
      <c r="J635" s="74"/>
      <c r="K635" s="41"/>
    </row>
    <row r="636" spans="1:11" s="5" customFormat="1" ht="12.75">
      <c r="A636" s="584" t="s">
        <v>569</v>
      </c>
      <c r="B636" s="69"/>
      <c r="C636" s="69"/>
      <c r="D636" s="81"/>
      <c r="E636" s="81"/>
      <c r="F636" s="95">
        <v>4892936.99</v>
      </c>
      <c r="G636" s="95">
        <v>4892936.99</v>
      </c>
      <c r="H636" s="665">
        <f t="shared" si="31"/>
        <v>1</v>
      </c>
      <c r="I636" s="69"/>
      <c r="J636" s="96"/>
      <c r="K636" s="41"/>
    </row>
    <row r="637" spans="1:11" s="5" customFormat="1" ht="51">
      <c r="A637" s="584" t="s">
        <v>263</v>
      </c>
      <c r="B637" s="69"/>
      <c r="C637" s="69"/>
      <c r="D637" s="81"/>
      <c r="E637" s="81"/>
      <c r="F637" s="95">
        <v>520500</v>
      </c>
      <c r="G637" s="95">
        <v>520500</v>
      </c>
      <c r="H637" s="665">
        <f t="shared" si="31"/>
        <v>1</v>
      </c>
      <c r="I637" s="69"/>
      <c r="J637" s="96"/>
      <c r="K637" s="41"/>
    </row>
    <row r="638" spans="1:11" s="5" customFormat="1" ht="76.5">
      <c r="A638" s="584" t="s">
        <v>526</v>
      </c>
      <c r="B638" s="69"/>
      <c r="C638" s="69"/>
      <c r="D638" s="81"/>
      <c r="E638" s="81"/>
      <c r="F638" s="95">
        <v>373490</v>
      </c>
      <c r="G638" s="95">
        <v>373490</v>
      </c>
      <c r="H638" s="665">
        <f t="shared" si="31"/>
        <v>1</v>
      </c>
      <c r="I638" s="69"/>
      <c r="J638" s="96"/>
      <c r="K638" s="41"/>
    </row>
    <row r="639" spans="1:11" s="5" customFormat="1" ht="38.25">
      <c r="A639" s="584" t="s">
        <v>527</v>
      </c>
      <c r="B639" s="69"/>
      <c r="C639" s="69"/>
      <c r="D639" s="81"/>
      <c r="E639" s="81"/>
      <c r="F639" s="95">
        <v>2997600</v>
      </c>
      <c r="G639" s="95">
        <v>2593771.84</v>
      </c>
      <c r="H639" s="665">
        <f>F639/G639</f>
        <v>1.1556914736185895</v>
      </c>
      <c r="I639" s="69"/>
      <c r="J639" s="77" t="s">
        <v>264</v>
      </c>
      <c r="K639" s="41"/>
    </row>
    <row r="640" spans="1:11" s="5" customFormat="1" ht="51">
      <c r="A640" s="584" t="s">
        <v>528</v>
      </c>
      <c r="B640" s="69"/>
      <c r="C640" s="69"/>
      <c r="D640" s="81"/>
      <c r="E640" s="81"/>
      <c r="F640" s="95">
        <v>4939000</v>
      </c>
      <c r="G640" s="95">
        <v>4939000</v>
      </c>
      <c r="H640" s="665">
        <f t="shared" si="31"/>
        <v>1</v>
      </c>
      <c r="I640" s="69"/>
      <c r="J640" s="77"/>
      <c r="K640" s="41"/>
    </row>
    <row r="641" spans="1:11" s="5" customFormat="1" ht="38.25">
      <c r="A641" s="584" t="s">
        <v>529</v>
      </c>
      <c r="B641" s="69"/>
      <c r="C641" s="69"/>
      <c r="D641" s="81"/>
      <c r="E641" s="81"/>
      <c r="F641" s="95">
        <v>114688700</v>
      </c>
      <c r="G641" s="95">
        <v>113167849.17</v>
      </c>
      <c r="H641" s="665">
        <f t="shared" si="31"/>
        <v>0.986739314073662</v>
      </c>
      <c r="I641" s="69"/>
      <c r="J641" s="588"/>
      <c r="K641" s="41"/>
    </row>
    <row r="642" spans="1:11" s="5" customFormat="1" ht="63.75">
      <c r="A642" s="584" t="s">
        <v>531</v>
      </c>
      <c r="B642" s="69"/>
      <c r="C642" s="69"/>
      <c r="D642" s="81"/>
      <c r="E642" s="81"/>
      <c r="F642" s="95">
        <v>604000</v>
      </c>
      <c r="G642" s="95">
        <v>604000</v>
      </c>
      <c r="H642" s="665">
        <f t="shared" si="31"/>
        <v>1</v>
      </c>
      <c r="I642" s="69"/>
      <c r="J642" s="77"/>
      <c r="K642" s="41"/>
    </row>
    <row r="643" spans="1:11" s="5" customFormat="1" ht="63.75">
      <c r="A643" s="1" t="s">
        <v>105</v>
      </c>
      <c r="B643" s="69"/>
      <c r="C643" s="69"/>
      <c r="D643" s="81"/>
      <c r="E643" s="81"/>
      <c r="F643" s="95">
        <v>697600</v>
      </c>
      <c r="G643" s="95">
        <v>697600</v>
      </c>
      <c r="H643" s="665">
        <f t="shared" si="31"/>
        <v>1</v>
      </c>
      <c r="I643" s="69"/>
      <c r="J643" s="96"/>
      <c r="K643" s="41"/>
    </row>
    <row r="644" spans="1:11" s="5" customFormat="1" ht="76.5">
      <c r="A644" s="1" t="s">
        <v>265</v>
      </c>
      <c r="B644" s="69"/>
      <c r="C644" s="69"/>
      <c r="D644" s="81"/>
      <c r="E644" s="81"/>
      <c r="F644" s="95">
        <v>390000</v>
      </c>
      <c r="G644" s="95">
        <v>390000</v>
      </c>
      <c r="H644" s="665">
        <f t="shared" si="31"/>
        <v>1</v>
      </c>
      <c r="I644" s="69"/>
      <c r="J644" s="96"/>
      <c r="K644" s="41"/>
    </row>
    <row r="645" spans="1:11" s="5" customFormat="1" ht="38.25">
      <c r="A645" s="584" t="s">
        <v>532</v>
      </c>
      <c r="B645" s="69"/>
      <c r="C645" s="69"/>
      <c r="D645" s="81"/>
      <c r="E645" s="81"/>
      <c r="F645" s="95">
        <v>2125900</v>
      </c>
      <c r="G645" s="95">
        <v>2125900</v>
      </c>
      <c r="H645" s="665">
        <f t="shared" si="31"/>
        <v>1</v>
      </c>
      <c r="I645" s="69"/>
      <c r="J645" s="77"/>
      <c r="K645" s="41"/>
    </row>
    <row r="646" spans="1:11" s="5" customFormat="1" ht="51">
      <c r="A646" s="585" t="s">
        <v>650</v>
      </c>
      <c r="B646" s="69"/>
      <c r="C646" s="69"/>
      <c r="D646" s="81"/>
      <c r="E646" s="81"/>
      <c r="F646" s="95">
        <v>31017600</v>
      </c>
      <c r="G646" s="95">
        <v>31017600</v>
      </c>
      <c r="H646" s="665">
        <f t="shared" si="31"/>
        <v>1</v>
      </c>
      <c r="I646" s="69"/>
      <c r="J646" s="77"/>
      <c r="K646" s="41"/>
    </row>
    <row r="647" spans="1:11" s="5" customFormat="1" ht="51">
      <c r="A647" s="585" t="s">
        <v>266</v>
      </c>
      <c r="B647" s="69"/>
      <c r="C647" s="69"/>
      <c r="D647" s="81"/>
      <c r="E647" s="81"/>
      <c r="F647" s="95">
        <v>3340500</v>
      </c>
      <c r="G647" s="95">
        <v>3340500</v>
      </c>
      <c r="H647" s="665">
        <f t="shared" si="31"/>
        <v>1</v>
      </c>
      <c r="I647" s="69"/>
      <c r="J647" s="96"/>
      <c r="K647" s="41"/>
    </row>
    <row r="648" spans="1:11" s="5" customFormat="1" ht="12.75">
      <c r="A648" s="584" t="s">
        <v>654</v>
      </c>
      <c r="B648" s="69"/>
      <c r="C648" s="69"/>
      <c r="D648" s="81"/>
      <c r="E648" s="81"/>
      <c r="F648" s="95">
        <v>10352800</v>
      </c>
      <c r="G648" s="95">
        <v>10352800</v>
      </c>
      <c r="H648" s="665">
        <f t="shared" si="31"/>
        <v>1</v>
      </c>
      <c r="I648" s="69"/>
      <c r="J648" s="96"/>
      <c r="K648" s="41"/>
    </row>
    <row r="649" spans="1:11" s="5" customFormat="1" ht="38.25">
      <c r="A649" s="585" t="s">
        <v>307</v>
      </c>
      <c r="B649" s="69"/>
      <c r="C649" s="69"/>
      <c r="D649" s="81"/>
      <c r="E649" s="81"/>
      <c r="F649" s="95">
        <v>218400</v>
      </c>
      <c r="G649" s="95">
        <v>218400</v>
      </c>
      <c r="H649" s="665">
        <f t="shared" si="31"/>
        <v>1</v>
      </c>
      <c r="I649" s="69"/>
      <c r="J649" s="96"/>
      <c r="K649" s="41"/>
    </row>
    <row r="650" spans="1:11" s="5" customFormat="1" ht="114.75">
      <c r="A650" s="584" t="s">
        <v>267</v>
      </c>
      <c r="B650" s="69"/>
      <c r="C650" s="69"/>
      <c r="D650" s="81"/>
      <c r="E650" s="81"/>
      <c r="F650" s="95">
        <v>9046500</v>
      </c>
      <c r="G650" s="95">
        <v>9046500</v>
      </c>
      <c r="H650" s="665">
        <f t="shared" si="31"/>
        <v>1</v>
      </c>
      <c r="I650" s="69"/>
      <c r="J650" s="96"/>
      <c r="K650" s="41"/>
    </row>
    <row r="651" spans="1:11" s="5" customFormat="1" ht="12.75">
      <c r="A651" s="232" t="s">
        <v>540</v>
      </c>
      <c r="B651" s="80">
        <v>100</v>
      </c>
      <c r="C651" s="80">
        <v>100</v>
      </c>
      <c r="D651" s="90">
        <f aca="true" t="shared" si="32" ref="D651:D679">C651-B651</f>
        <v>0</v>
      </c>
      <c r="E651" s="81">
        <f aca="true" t="shared" si="33" ref="E651:E679">C651/B651</f>
        <v>1</v>
      </c>
      <c r="F651" s="71"/>
      <c r="G651" s="71"/>
      <c r="H651" s="70"/>
      <c r="I651" s="70"/>
      <c r="J651" s="3"/>
      <c r="K651" s="41"/>
    </row>
    <row r="652" spans="1:11" s="5" customFormat="1" ht="89.25">
      <c r="A652" s="232" t="s">
        <v>210</v>
      </c>
      <c r="B652" s="80">
        <v>169</v>
      </c>
      <c r="C652" s="80">
        <v>167</v>
      </c>
      <c r="D652" s="90">
        <f t="shared" si="32"/>
        <v>-2</v>
      </c>
      <c r="E652" s="81">
        <f t="shared" si="33"/>
        <v>0.9881656804733728</v>
      </c>
      <c r="F652" s="71"/>
      <c r="G652" s="71"/>
      <c r="H652" s="70"/>
      <c r="I652" s="70"/>
      <c r="J652" s="75" t="s">
        <v>684</v>
      </c>
      <c r="K652" s="41"/>
    </row>
    <row r="653" spans="1:11" s="5" customFormat="1" ht="89.25">
      <c r="A653" s="232" t="s">
        <v>714</v>
      </c>
      <c r="B653" s="89">
        <v>100</v>
      </c>
      <c r="C653" s="86">
        <v>100</v>
      </c>
      <c r="D653" s="90">
        <f t="shared" si="32"/>
        <v>0</v>
      </c>
      <c r="E653" s="81">
        <f t="shared" si="33"/>
        <v>1</v>
      </c>
      <c r="F653" s="71"/>
      <c r="G653" s="71"/>
      <c r="H653" s="70"/>
      <c r="I653" s="70"/>
      <c r="J653" s="75"/>
      <c r="K653" s="41"/>
    </row>
    <row r="654" spans="1:11" s="5" customFormat="1" ht="38.25">
      <c r="A654" s="587" t="s">
        <v>725</v>
      </c>
      <c r="B654" s="80">
        <v>78</v>
      </c>
      <c r="C654" s="3">
        <v>77.45</v>
      </c>
      <c r="D654" s="90">
        <f t="shared" si="32"/>
        <v>-0.5499999999999972</v>
      </c>
      <c r="E654" s="81">
        <f t="shared" si="33"/>
        <v>0.992948717948718</v>
      </c>
      <c r="F654" s="71"/>
      <c r="G654" s="71"/>
      <c r="H654" s="70"/>
      <c r="I654" s="70"/>
      <c r="J654" s="75"/>
      <c r="K654" s="41"/>
    </row>
    <row r="655" spans="1:11" s="5" customFormat="1" ht="63.75">
      <c r="A655" s="587" t="s">
        <v>726</v>
      </c>
      <c r="B655" s="3">
        <v>2205</v>
      </c>
      <c r="C655" s="3">
        <v>4317</v>
      </c>
      <c r="D655" s="90">
        <v>0</v>
      </c>
      <c r="E655" s="81">
        <v>1</v>
      </c>
      <c r="F655" s="71"/>
      <c r="G655" s="71"/>
      <c r="H655" s="70"/>
      <c r="I655" s="70"/>
      <c r="J655" s="75" t="s">
        <v>727</v>
      </c>
      <c r="K655" s="41"/>
    </row>
    <row r="656" spans="1:11" s="5" customFormat="1" ht="63.75">
      <c r="A656" s="232" t="s">
        <v>728</v>
      </c>
      <c r="B656" s="3">
        <v>25</v>
      </c>
      <c r="C656" s="3">
        <v>2.8</v>
      </c>
      <c r="D656" s="90">
        <f t="shared" si="32"/>
        <v>-22.2</v>
      </c>
      <c r="E656" s="81">
        <f t="shared" si="33"/>
        <v>0.11199999999999999</v>
      </c>
      <c r="F656" s="71"/>
      <c r="G656" s="71"/>
      <c r="H656" s="70"/>
      <c r="I656" s="70"/>
      <c r="J656" s="75" t="s">
        <v>729</v>
      </c>
      <c r="K656" s="41"/>
    </row>
    <row r="657" spans="1:11" s="5" customFormat="1" ht="63.75">
      <c r="A657" s="232" t="s">
        <v>730</v>
      </c>
      <c r="B657" s="80">
        <v>100</v>
      </c>
      <c r="C657" s="3">
        <v>100</v>
      </c>
      <c r="D657" s="90">
        <f t="shared" si="32"/>
        <v>0</v>
      </c>
      <c r="E657" s="81">
        <f t="shared" si="33"/>
        <v>1</v>
      </c>
      <c r="F657" s="71"/>
      <c r="G657" s="71"/>
      <c r="H657" s="70"/>
      <c r="I657" s="70"/>
      <c r="J657" s="75"/>
      <c r="K657" s="41"/>
    </row>
    <row r="658" spans="1:11" s="5" customFormat="1" ht="63.75">
      <c r="A658" s="232" t="s">
        <v>731</v>
      </c>
      <c r="B658" s="80">
        <v>100</v>
      </c>
      <c r="C658" s="3">
        <v>100</v>
      </c>
      <c r="D658" s="90">
        <f t="shared" si="32"/>
        <v>0</v>
      </c>
      <c r="E658" s="81">
        <f t="shared" si="33"/>
        <v>1</v>
      </c>
      <c r="F658" s="71"/>
      <c r="G658" s="71"/>
      <c r="H658" s="70"/>
      <c r="I658" s="70"/>
      <c r="J658" s="75"/>
      <c r="K658" s="41"/>
    </row>
    <row r="659" spans="1:11" s="5" customFormat="1" ht="51">
      <c r="A659" s="232" t="s">
        <v>38</v>
      </c>
      <c r="B659" s="80">
        <v>6</v>
      </c>
      <c r="C659" s="89">
        <v>6</v>
      </c>
      <c r="D659" s="90">
        <f t="shared" si="32"/>
        <v>0</v>
      </c>
      <c r="E659" s="81">
        <f t="shared" si="33"/>
        <v>1</v>
      </c>
      <c r="F659" s="71"/>
      <c r="G659" s="71"/>
      <c r="H659" s="70"/>
      <c r="I659" s="70"/>
      <c r="J659" s="75"/>
      <c r="K659" s="41"/>
    </row>
    <row r="660" spans="1:11" s="5" customFormat="1" ht="63.75">
      <c r="A660" s="232" t="s">
        <v>732</v>
      </c>
      <c r="B660" s="80">
        <v>10</v>
      </c>
      <c r="C660" s="83">
        <v>10</v>
      </c>
      <c r="D660" s="90">
        <f t="shared" si="32"/>
        <v>0</v>
      </c>
      <c r="E660" s="81">
        <f t="shared" si="33"/>
        <v>1</v>
      </c>
      <c r="F660" s="71"/>
      <c r="G660" s="71"/>
      <c r="H660" s="70"/>
      <c r="I660" s="70"/>
      <c r="J660" s="75"/>
      <c r="K660" s="41"/>
    </row>
    <row r="661" spans="1:11" s="5" customFormat="1" ht="51">
      <c r="A661" s="1" t="s">
        <v>38</v>
      </c>
      <c r="B661" s="3">
        <v>91.4</v>
      </c>
      <c r="C661" s="3">
        <v>91.4</v>
      </c>
      <c r="D661" s="90">
        <f t="shared" si="32"/>
        <v>0</v>
      </c>
      <c r="E661" s="81">
        <f t="shared" si="33"/>
        <v>1</v>
      </c>
      <c r="F661" s="71"/>
      <c r="G661" s="71"/>
      <c r="H661" s="70"/>
      <c r="I661" s="70"/>
      <c r="J661" s="75"/>
      <c r="K661" s="41"/>
    </row>
    <row r="662" spans="1:11" s="5" customFormat="1" ht="51">
      <c r="A662" s="1" t="s">
        <v>733</v>
      </c>
      <c r="B662" s="83">
        <v>100</v>
      </c>
      <c r="C662" s="83">
        <v>100</v>
      </c>
      <c r="D662" s="90">
        <f t="shared" si="32"/>
        <v>0</v>
      </c>
      <c r="E662" s="81">
        <f t="shared" si="33"/>
        <v>1</v>
      </c>
      <c r="F662" s="71"/>
      <c r="G662" s="71"/>
      <c r="H662" s="70"/>
      <c r="I662" s="70"/>
      <c r="J662" s="75"/>
      <c r="K662" s="41"/>
    </row>
    <row r="663" spans="1:11" s="5" customFormat="1" ht="216.75">
      <c r="A663" s="1" t="s">
        <v>747</v>
      </c>
      <c r="B663" s="80">
        <v>100</v>
      </c>
      <c r="C663" s="3">
        <f>+B663</f>
        <v>100</v>
      </c>
      <c r="D663" s="90">
        <f t="shared" si="32"/>
        <v>0</v>
      </c>
      <c r="E663" s="81">
        <f t="shared" si="33"/>
        <v>1</v>
      </c>
      <c r="F663" s="71"/>
      <c r="G663" s="71"/>
      <c r="H663" s="70"/>
      <c r="I663" s="70"/>
      <c r="J663" s="75"/>
      <c r="K663" s="41"/>
    </row>
    <row r="664" spans="1:11" s="5" customFormat="1" ht="51">
      <c r="A664" s="1" t="s">
        <v>748</v>
      </c>
      <c r="B664" s="80">
        <v>14</v>
      </c>
      <c r="C664" s="3">
        <v>14</v>
      </c>
      <c r="D664" s="90">
        <f t="shared" si="32"/>
        <v>0</v>
      </c>
      <c r="E664" s="81">
        <f t="shared" si="33"/>
        <v>1</v>
      </c>
      <c r="F664" s="71"/>
      <c r="G664" s="71"/>
      <c r="H664" s="70"/>
      <c r="I664" s="70"/>
      <c r="J664" s="75"/>
      <c r="K664" s="41"/>
    </row>
    <row r="665" spans="1:11" s="5" customFormat="1" ht="102">
      <c r="A665" s="232" t="s">
        <v>749</v>
      </c>
      <c r="B665" s="80">
        <v>11</v>
      </c>
      <c r="C665" s="3">
        <v>11</v>
      </c>
      <c r="D665" s="90">
        <f t="shared" si="32"/>
        <v>0</v>
      </c>
      <c r="E665" s="81">
        <f t="shared" si="33"/>
        <v>1</v>
      </c>
      <c r="F665" s="71"/>
      <c r="G665" s="71"/>
      <c r="H665" s="70"/>
      <c r="I665" s="70"/>
      <c r="J665" s="75"/>
      <c r="K665" s="41"/>
    </row>
    <row r="666" spans="1:11" s="5" customFormat="1" ht="89.25">
      <c r="A666" s="1" t="s">
        <v>799</v>
      </c>
      <c r="B666" s="3">
        <v>100</v>
      </c>
      <c r="C666" s="3">
        <v>100</v>
      </c>
      <c r="D666" s="90">
        <f t="shared" si="32"/>
        <v>0</v>
      </c>
      <c r="E666" s="81">
        <f t="shared" si="33"/>
        <v>1</v>
      </c>
      <c r="F666" s="71"/>
      <c r="G666" s="71"/>
      <c r="H666" s="70"/>
      <c r="I666" s="70"/>
      <c r="J666" s="75"/>
      <c r="K666" s="41"/>
    </row>
    <row r="667" spans="1:11" s="5" customFormat="1" ht="127.5">
      <c r="A667" s="583" t="s">
        <v>800</v>
      </c>
      <c r="B667" s="3">
        <v>100</v>
      </c>
      <c r="C667" s="3">
        <v>100</v>
      </c>
      <c r="D667" s="90">
        <v>0</v>
      </c>
      <c r="E667" s="81">
        <f t="shared" si="33"/>
        <v>1</v>
      </c>
      <c r="F667" s="71"/>
      <c r="G667" s="71"/>
      <c r="H667" s="70"/>
      <c r="I667" s="70"/>
      <c r="J667" s="75"/>
      <c r="K667" s="41"/>
    </row>
    <row r="668" spans="1:11" s="5" customFormat="1" ht="51">
      <c r="A668" s="1" t="s">
        <v>801</v>
      </c>
      <c r="B668" s="3">
        <v>1</v>
      </c>
      <c r="C668" s="3">
        <v>1</v>
      </c>
      <c r="D668" s="90">
        <f t="shared" si="32"/>
        <v>0</v>
      </c>
      <c r="E668" s="81">
        <f t="shared" si="33"/>
        <v>1</v>
      </c>
      <c r="F668" s="71"/>
      <c r="G668" s="71"/>
      <c r="H668" s="70"/>
      <c r="I668" s="70"/>
      <c r="J668" s="75"/>
      <c r="K668" s="41"/>
    </row>
    <row r="669" spans="1:11" s="5" customFormat="1" ht="76.5">
      <c r="A669" s="1" t="s">
        <v>802</v>
      </c>
      <c r="B669" s="3">
        <v>100</v>
      </c>
      <c r="C669" s="3">
        <v>100</v>
      </c>
      <c r="D669" s="90">
        <f t="shared" si="32"/>
        <v>0</v>
      </c>
      <c r="E669" s="81">
        <f t="shared" si="33"/>
        <v>1</v>
      </c>
      <c r="F669" s="71"/>
      <c r="G669" s="71"/>
      <c r="H669" s="70"/>
      <c r="I669" s="70"/>
      <c r="J669" s="75"/>
      <c r="K669" s="41"/>
    </row>
    <row r="670" spans="1:11" s="5" customFormat="1" ht="89.25">
      <c r="A670" s="1" t="s">
        <v>683</v>
      </c>
      <c r="B670" s="80">
        <v>100</v>
      </c>
      <c r="C670" s="3">
        <v>100</v>
      </c>
      <c r="D670" s="90">
        <f t="shared" si="32"/>
        <v>0</v>
      </c>
      <c r="E670" s="81">
        <f t="shared" si="33"/>
        <v>1</v>
      </c>
      <c r="F670" s="71"/>
      <c r="G670" s="71"/>
      <c r="H670" s="70"/>
      <c r="I670" s="70"/>
      <c r="J670" s="75"/>
      <c r="K670" s="41"/>
    </row>
    <row r="671" spans="1:11" s="5" customFormat="1" ht="102">
      <c r="A671" s="1" t="s">
        <v>803</v>
      </c>
      <c r="B671" s="3">
        <v>100</v>
      </c>
      <c r="C671" s="3">
        <v>100</v>
      </c>
      <c r="D671" s="90">
        <f t="shared" si="32"/>
        <v>0</v>
      </c>
      <c r="E671" s="81">
        <f t="shared" si="33"/>
        <v>1</v>
      </c>
      <c r="F671" s="71"/>
      <c r="G671" s="71"/>
      <c r="H671" s="71"/>
      <c r="I671" s="71"/>
      <c r="J671" s="99"/>
      <c r="K671" s="41"/>
    </row>
    <row r="672" spans="1:11" s="5" customFormat="1" ht="76.5">
      <c r="A672" s="232" t="s">
        <v>804</v>
      </c>
      <c r="B672" s="80">
        <v>100</v>
      </c>
      <c r="C672" s="3">
        <v>100</v>
      </c>
      <c r="D672" s="90">
        <f t="shared" si="32"/>
        <v>0</v>
      </c>
      <c r="E672" s="81">
        <f t="shared" si="33"/>
        <v>1</v>
      </c>
      <c r="F672" s="71"/>
      <c r="G672" s="71"/>
      <c r="H672" s="70"/>
      <c r="I672" s="70"/>
      <c r="J672" s="99"/>
      <c r="K672" s="41"/>
    </row>
    <row r="673" spans="1:11" s="5" customFormat="1" ht="89.25">
      <c r="A673" s="232" t="s">
        <v>655</v>
      </c>
      <c r="B673" s="80">
        <v>100</v>
      </c>
      <c r="C673" s="3">
        <v>100</v>
      </c>
      <c r="D673" s="90">
        <f t="shared" si="32"/>
        <v>0</v>
      </c>
      <c r="E673" s="81">
        <f t="shared" si="33"/>
        <v>1</v>
      </c>
      <c r="F673" s="71"/>
      <c r="G673" s="71"/>
      <c r="H673" s="70"/>
      <c r="I673" s="70"/>
      <c r="J673" s="99"/>
      <c r="K673" s="41"/>
    </row>
    <row r="674" spans="1:11" s="5" customFormat="1" ht="51">
      <c r="A674" s="232" t="s">
        <v>600</v>
      </c>
      <c r="B674" s="3">
        <v>100</v>
      </c>
      <c r="C674" s="3">
        <v>100</v>
      </c>
      <c r="D674" s="90">
        <f t="shared" si="32"/>
        <v>0</v>
      </c>
      <c r="E674" s="81">
        <f t="shared" si="33"/>
        <v>1</v>
      </c>
      <c r="F674" s="71"/>
      <c r="G674" s="71"/>
      <c r="H674" s="70"/>
      <c r="I674" s="70"/>
      <c r="J674" s="91"/>
      <c r="K674" s="41"/>
    </row>
    <row r="675" spans="1:11" s="5" customFormat="1" ht="102">
      <c r="A675" s="1" t="s">
        <v>252</v>
      </c>
      <c r="B675" s="3">
        <v>100</v>
      </c>
      <c r="C675" s="3">
        <v>100</v>
      </c>
      <c r="D675" s="90">
        <f t="shared" si="32"/>
        <v>0</v>
      </c>
      <c r="E675" s="81">
        <f t="shared" si="33"/>
        <v>1</v>
      </c>
      <c r="F675" s="71"/>
      <c r="G675" s="71"/>
      <c r="H675" s="70"/>
      <c r="I675" s="70"/>
      <c r="J675" s="91"/>
      <c r="K675" s="41"/>
    </row>
    <row r="676" spans="1:11" s="5" customFormat="1" ht="63.75">
      <c r="A676" s="259" t="s">
        <v>663</v>
      </c>
      <c r="B676" s="80">
        <v>0.93</v>
      </c>
      <c r="C676" s="3">
        <v>0.93</v>
      </c>
      <c r="D676" s="90">
        <f t="shared" si="32"/>
        <v>0</v>
      </c>
      <c r="E676" s="81">
        <f t="shared" si="33"/>
        <v>1</v>
      </c>
      <c r="F676" s="71"/>
      <c r="G676" s="71"/>
      <c r="H676" s="70"/>
      <c r="I676" s="70"/>
      <c r="J676" s="91"/>
      <c r="K676" s="41"/>
    </row>
    <row r="677" spans="1:11" s="5" customFormat="1" ht="63.75">
      <c r="A677" s="259" t="s">
        <v>648</v>
      </c>
      <c r="B677" s="80">
        <v>1.3</v>
      </c>
      <c r="C677" s="3">
        <v>1.3</v>
      </c>
      <c r="D677" s="90">
        <f t="shared" si="32"/>
        <v>0</v>
      </c>
      <c r="E677" s="81">
        <f t="shared" si="33"/>
        <v>1</v>
      </c>
      <c r="F677" s="71"/>
      <c r="G677" s="71"/>
      <c r="H677" s="70"/>
      <c r="I677" s="70"/>
      <c r="J677" s="91"/>
      <c r="K677" s="41"/>
    </row>
    <row r="678" spans="1:11" s="5" customFormat="1" ht="99" customHeight="1">
      <c r="A678" s="259" t="s">
        <v>253</v>
      </c>
      <c r="B678" s="80">
        <v>51</v>
      </c>
      <c r="C678" s="3">
        <v>56</v>
      </c>
      <c r="D678" s="90">
        <f t="shared" si="32"/>
        <v>5</v>
      </c>
      <c r="E678" s="81">
        <f t="shared" si="33"/>
        <v>1.0980392156862746</v>
      </c>
      <c r="F678" s="71"/>
      <c r="G678" s="71"/>
      <c r="H678" s="70"/>
      <c r="I678" s="70"/>
      <c r="J678" s="75" t="s">
        <v>12</v>
      </c>
      <c r="K678" s="41"/>
    </row>
    <row r="679" spans="1:11" s="5" customFormat="1" ht="78.75">
      <c r="A679" s="75" t="s">
        <v>209</v>
      </c>
      <c r="B679" s="80">
        <v>40</v>
      </c>
      <c r="C679" s="3">
        <v>42</v>
      </c>
      <c r="D679" s="90">
        <f t="shared" si="32"/>
        <v>2</v>
      </c>
      <c r="E679" s="81">
        <f t="shared" si="33"/>
        <v>1.05</v>
      </c>
      <c r="F679" s="71"/>
      <c r="G679" s="71"/>
      <c r="H679" s="70"/>
      <c r="I679" s="70"/>
      <c r="J679" s="91" t="s">
        <v>685</v>
      </c>
      <c r="K679" s="41"/>
    </row>
    <row r="680" spans="1:11" s="5" customFormat="1" ht="12.75">
      <c r="A680" s="430" t="s">
        <v>660</v>
      </c>
      <c r="B680" s="431">
        <f>SUM(B651:B679)</f>
        <v>4203.63</v>
      </c>
      <c r="C680" s="431">
        <f>SUM(C651:C679)</f>
        <v>6297.88</v>
      </c>
      <c r="D680" s="431">
        <f>C680-B680</f>
        <v>2094.25</v>
      </c>
      <c r="E680" s="487">
        <f>SUM(E651:E679)/29</f>
        <v>0.9738328832451161</v>
      </c>
      <c r="F680" s="758">
        <f>SUM(F629:F650)</f>
        <v>1099669246.99</v>
      </c>
      <c r="G680" s="758">
        <f>SUM(G629:G650)</f>
        <v>1097744568</v>
      </c>
      <c r="H680" s="391">
        <f>SUM(H629:H650)/21</f>
        <v>1.0544014660805832</v>
      </c>
      <c r="I680" s="391">
        <f>E680/H680</f>
        <v>0.9235883243457956</v>
      </c>
      <c r="J680" s="432"/>
      <c r="K680" s="41"/>
    </row>
    <row r="681" spans="1:11" s="5" customFormat="1" ht="12.75">
      <c r="A681" s="789" t="s">
        <v>411</v>
      </c>
      <c r="B681" s="789"/>
      <c r="C681" s="789"/>
      <c r="D681" s="789"/>
      <c r="E681" s="789"/>
      <c r="F681" s="789"/>
      <c r="G681" s="789"/>
      <c r="H681" s="789"/>
      <c r="I681" s="789"/>
      <c r="J681" s="789"/>
      <c r="K681" s="41"/>
    </row>
    <row r="682" spans="1:13" s="38" customFormat="1" ht="12.75" customHeight="1">
      <c r="A682" s="777" t="s">
        <v>510</v>
      </c>
      <c r="B682" s="777"/>
      <c r="C682" s="777"/>
      <c r="D682" s="777"/>
      <c r="E682" s="777"/>
      <c r="F682" s="777"/>
      <c r="G682" s="777"/>
      <c r="H682" s="777"/>
      <c r="I682" s="777"/>
      <c r="J682" s="777"/>
      <c r="K682" s="225"/>
      <c r="L682" s="37"/>
      <c r="M682" s="37"/>
    </row>
    <row r="683" spans="1:13" s="38" customFormat="1" ht="25.5">
      <c r="A683" s="600" t="s">
        <v>687</v>
      </c>
      <c r="B683" s="747"/>
      <c r="C683" s="681"/>
      <c r="D683" s="603"/>
      <c r="E683" s="603"/>
      <c r="F683" s="300">
        <v>2093500</v>
      </c>
      <c r="G683" s="300">
        <v>2093500</v>
      </c>
      <c r="H683" s="300">
        <f>G683/F683</f>
        <v>1</v>
      </c>
      <c r="I683" s="603"/>
      <c r="J683" s="603"/>
      <c r="K683" s="225"/>
      <c r="L683" s="37"/>
      <c r="M683" s="37"/>
    </row>
    <row r="684" spans="1:53" s="38" customFormat="1" ht="120">
      <c r="A684" s="600" t="s">
        <v>562</v>
      </c>
      <c r="B684" s="615">
        <v>50.65</v>
      </c>
      <c r="C684" s="300">
        <v>60.08</v>
      </c>
      <c r="D684" s="300">
        <f aca="true" t="shared" si="34" ref="D684:D692">SUM(C684-B684)</f>
        <v>9.43</v>
      </c>
      <c r="E684" s="479">
        <f>C684/B684</f>
        <v>1.1861796643632774</v>
      </c>
      <c r="F684" s="603"/>
      <c r="G684" s="603"/>
      <c r="H684" s="603"/>
      <c r="I684" s="603"/>
      <c r="J684" s="685" t="s">
        <v>46</v>
      </c>
      <c r="K684" s="227"/>
      <c r="L684" s="39"/>
      <c r="M684" s="39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</row>
    <row r="685" spans="1:53" s="38" customFormat="1" ht="71.25" customHeight="1">
      <c r="A685" s="600" t="s">
        <v>563</v>
      </c>
      <c r="B685" s="615">
        <v>9</v>
      </c>
      <c r="C685" s="300">
        <v>10.63</v>
      </c>
      <c r="D685" s="300">
        <f t="shared" si="34"/>
        <v>1.6300000000000008</v>
      </c>
      <c r="E685" s="479">
        <f aca="true" t="shared" si="35" ref="E685:E692">SUM(C685/B685)</f>
        <v>1.1811111111111112</v>
      </c>
      <c r="F685" s="603"/>
      <c r="G685" s="603"/>
      <c r="H685" s="603"/>
      <c r="I685" s="603"/>
      <c r="J685" s="685" t="s">
        <v>47</v>
      </c>
      <c r="K685" s="227"/>
      <c r="L685" s="39"/>
      <c r="M685" s="39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</row>
    <row r="686" spans="1:53" s="38" customFormat="1" ht="96">
      <c r="A686" s="600" t="s">
        <v>508</v>
      </c>
      <c r="B686" s="615">
        <v>80.35</v>
      </c>
      <c r="C686" s="300">
        <v>90.44</v>
      </c>
      <c r="D686" s="300">
        <f t="shared" si="34"/>
        <v>10.090000000000003</v>
      </c>
      <c r="E686" s="479">
        <f t="shared" si="35"/>
        <v>1.1255756067205975</v>
      </c>
      <c r="F686" s="603"/>
      <c r="G686" s="603"/>
      <c r="H686" s="603"/>
      <c r="I686" s="603"/>
      <c r="J686" s="685" t="s">
        <v>48</v>
      </c>
      <c r="K686" s="227"/>
      <c r="L686" s="39"/>
      <c r="M686" s="39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</row>
    <row r="687" spans="1:53" s="38" customFormat="1" ht="96">
      <c r="A687" s="600" t="s">
        <v>509</v>
      </c>
      <c r="B687" s="615">
        <v>68</v>
      </c>
      <c r="C687" s="300">
        <v>76.26</v>
      </c>
      <c r="D687" s="300">
        <f t="shared" si="34"/>
        <v>8.260000000000005</v>
      </c>
      <c r="E687" s="479">
        <f t="shared" si="35"/>
        <v>1.1214705882352942</v>
      </c>
      <c r="F687" s="603"/>
      <c r="G687" s="603"/>
      <c r="H687" s="603"/>
      <c r="I687" s="603"/>
      <c r="J687" s="685" t="s">
        <v>48</v>
      </c>
      <c r="K687" s="227"/>
      <c r="L687" s="39"/>
      <c r="M687" s="39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</row>
    <row r="688" spans="1:53" s="38" customFormat="1" ht="45.75" customHeight="1">
      <c r="A688" s="683" t="s">
        <v>107</v>
      </c>
      <c r="B688" s="687">
        <v>700</v>
      </c>
      <c r="C688" s="687">
        <v>659</v>
      </c>
      <c r="D688" s="300">
        <f t="shared" si="34"/>
        <v>-41</v>
      </c>
      <c r="E688" s="479">
        <f t="shared" si="35"/>
        <v>0.9414285714285714</v>
      </c>
      <c r="F688" s="603"/>
      <c r="G688" s="603"/>
      <c r="H688" s="603"/>
      <c r="I688" s="603"/>
      <c r="J688" s="685" t="s">
        <v>49</v>
      </c>
      <c r="K688" s="227"/>
      <c r="L688" s="39"/>
      <c r="M688" s="39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</row>
    <row r="689" spans="1:53" s="38" customFormat="1" ht="72">
      <c r="A689" s="600" t="s">
        <v>180</v>
      </c>
      <c r="B689" s="687">
        <v>7</v>
      </c>
      <c r="C689" s="687">
        <v>11</v>
      </c>
      <c r="D689" s="300">
        <f t="shared" si="34"/>
        <v>4</v>
      </c>
      <c r="E689" s="479">
        <f t="shared" si="35"/>
        <v>1.5714285714285714</v>
      </c>
      <c r="F689" s="603"/>
      <c r="G689" s="603"/>
      <c r="H689" s="603"/>
      <c r="I689" s="603"/>
      <c r="J689" s="685" t="s">
        <v>50</v>
      </c>
      <c r="K689" s="227"/>
      <c r="L689" s="39"/>
      <c r="M689" s="39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</row>
    <row r="690" spans="1:53" s="38" customFormat="1" ht="132">
      <c r="A690" s="600" t="s">
        <v>33</v>
      </c>
      <c r="B690" s="615">
        <v>26.5</v>
      </c>
      <c r="C690" s="300">
        <v>31.6</v>
      </c>
      <c r="D690" s="300">
        <f t="shared" si="34"/>
        <v>5.100000000000001</v>
      </c>
      <c r="E690" s="479">
        <f t="shared" si="35"/>
        <v>1.1924528301886792</v>
      </c>
      <c r="F690" s="603"/>
      <c r="G690" s="603"/>
      <c r="H690" s="603"/>
      <c r="I690" s="603"/>
      <c r="J690" s="685" t="s">
        <v>53</v>
      </c>
      <c r="K690" s="227"/>
      <c r="L690" s="39"/>
      <c r="M690" s="39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</row>
    <row r="691" spans="1:53" s="38" customFormat="1" ht="38.25">
      <c r="A691" s="683" t="s">
        <v>57</v>
      </c>
      <c r="B691" s="615">
        <v>35</v>
      </c>
      <c r="C691" s="300">
        <v>16.57</v>
      </c>
      <c r="D691" s="300">
        <f t="shared" si="34"/>
        <v>-18.43</v>
      </c>
      <c r="E691" s="479">
        <f t="shared" si="35"/>
        <v>0.4734285714285714</v>
      </c>
      <c r="F691" s="603"/>
      <c r="G691" s="603"/>
      <c r="H691" s="603"/>
      <c r="I691" s="603"/>
      <c r="J691" s="685" t="s">
        <v>56</v>
      </c>
      <c r="K691" s="227"/>
      <c r="L691" s="39"/>
      <c r="M691" s="39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</row>
    <row r="692" spans="1:53" s="38" customFormat="1" ht="25.5">
      <c r="A692" s="600" t="s">
        <v>277</v>
      </c>
      <c r="B692" s="687">
        <v>6</v>
      </c>
      <c r="C692" s="301">
        <v>6</v>
      </c>
      <c r="D692" s="300">
        <f t="shared" si="34"/>
        <v>0</v>
      </c>
      <c r="E692" s="479">
        <f t="shared" si="35"/>
        <v>1</v>
      </c>
      <c r="F692" s="603"/>
      <c r="G692" s="603"/>
      <c r="H692" s="603"/>
      <c r="I692" s="603"/>
      <c r="J692" s="603"/>
      <c r="K692" s="227"/>
      <c r="L692" s="39"/>
      <c r="M692" s="39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</row>
    <row r="693" spans="1:53" s="38" customFormat="1" ht="25.5">
      <c r="A693" s="600" t="s">
        <v>724</v>
      </c>
      <c r="B693" s="687"/>
      <c r="C693" s="301"/>
      <c r="D693" s="300"/>
      <c r="E693" s="479"/>
      <c r="F693" s="603"/>
      <c r="G693" s="137">
        <f>G694/G717</f>
        <v>0.053364443278580836</v>
      </c>
      <c r="H693" s="603"/>
      <c r="I693" s="603"/>
      <c r="J693" s="603"/>
      <c r="K693" s="227"/>
      <c r="L693" s="39"/>
      <c r="M693" s="39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</row>
    <row r="694" spans="1:53" s="38" customFormat="1" ht="12.75">
      <c r="A694" s="690" t="s">
        <v>117</v>
      </c>
      <c r="B694" s="691">
        <f>SUM(B684:B692)</f>
        <v>982.5</v>
      </c>
      <c r="C694" s="691">
        <f>SUM(C684:C692)</f>
        <v>961.58</v>
      </c>
      <c r="D694" s="691">
        <f>C694-B694</f>
        <v>-20.91999999999996</v>
      </c>
      <c r="E694" s="380">
        <f>(SUM(E684:E692))/9</f>
        <v>1.0881195016560747</v>
      </c>
      <c r="F694" s="616">
        <f>SUM(F683:F684)</f>
        <v>2093500</v>
      </c>
      <c r="G694" s="616">
        <f>SUM(G683:G684)</f>
        <v>2093500</v>
      </c>
      <c r="H694" s="380">
        <f>G694/F694</f>
        <v>1</v>
      </c>
      <c r="I694" s="380">
        <f>E694/H694</f>
        <v>1.0881195016560747</v>
      </c>
      <c r="J694" s="617"/>
      <c r="K694" s="227"/>
      <c r="L694" s="39"/>
      <c r="M694" s="39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</row>
    <row r="695" spans="1:13" s="38" customFormat="1" ht="17.25" customHeight="1">
      <c r="A695" s="836" t="s">
        <v>119</v>
      </c>
      <c r="B695" s="836"/>
      <c r="C695" s="836"/>
      <c r="D695" s="836"/>
      <c r="E695" s="836"/>
      <c r="F695" s="836"/>
      <c r="G695" s="836"/>
      <c r="H695" s="836"/>
      <c r="I695" s="836"/>
      <c r="J695" s="836"/>
      <c r="K695" s="225"/>
      <c r="L695" s="37"/>
      <c r="M695" s="37"/>
    </row>
    <row r="696" spans="1:13" s="38" customFormat="1" ht="12.75">
      <c r="A696" s="604" t="s">
        <v>278</v>
      </c>
      <c r="B696" s="605"/>
      <c r="C696" s="606"/>
      <c r="D696" s="607"/>
      <c r="E696" s="607"/>
      <c r="F696" s="608">
        <v>5576900</v>
      </c>
      <c r="G696" s="608">
        <v>5576900</v>
      </c>
      <c r="H696" s="137">
        <f>G696/F696</f>
        <v>1</v>
      </c>
      <c r="I696" s="607"/>
      <c r="J696" s="607"/>
      <c r="K696" s="225"/>
      <c r="L696" s="37"/>
      <c r="M696" s="37"/>
    </row>
    <row r="697" spans="1:13" s="38" customFormat="1" ht="38.25">
      <c r="A697" s="609" t="s">
        <v>636</v>
      </c>
      <c r="B697" s="605"/>
      <c r="C697" s="606"/>
      <c r="D697" s="607"/>
      <c r="E697" s="607"/>
      <c r="F697" s="297">
        <v>498700</v>
      </c>
      <c r="G697" s="297">
        <v>498700</v>
      </c>
      <c r="H697" s="300">
        <f>G697/F697</f>
        <v>1</v>
      </c>
      <c r="I697" s="607"/>
      <c r="J697" s="607"/>
      <c r="K697" s="225"/>
      <c r="L697" s="37"/>
      <c r="M697" s="37"/>
    </row>
    <row r="698" spans="1:13" s="38" customFormat="1" ht="38.25">
      <c r="A698" s="683" t="s">
        <v>640</v>
      </c>
      <c r="B698" s="615">
        <v>28</v>
      </c>
      <c r="C698" s="300">
        <v>23.03</v>
      </c>
      <c r="D698" s="300">
        <f aca="true" t="shared" si="36" ref="D698:D707">SUM(C698-B698)</f>
        <v>-4.969999999999999</v>
      </c>
      <c r="E698" s="479">
        <f>SUM(C698/B698)</f>
        <v>0.8225</v>
      </c>
      <c r="F698" s="603"/>
      <c r="G698" s="607"/>
      <c r="H698" s="603"/>
      <c r="I698" s="607"/>
      <c r="J698" s="685" t="s">
        <v>98</v>
      </c>
      <c r="K698" s="225"/>
      <c r="L698" s="37"/>
      <c r="M698" s="37"/>
    </row>
    <row r="699" spans="1:13" s="38" customFormat="1" ht="36">
      <c r="A699" s="695" t="s">
        <v>670</v>
      </c>
      <c r="B699" s="615">
        <v>15</v>
      </c>
      <c r="C699" s="300">
        <v>10.1</v>
      </c>
      <c r="D699" s="300">
        <f t="shared" si="36"/>
        <v>-4.9</v>
      </c>
      <c r="E699" s="479">
        <f>SUM(B699/C699)</f>
        <v>1.4851485148514851</v>
      </c>
      <c r="F699" s="603"/>
      <c r="G699" s="607"/>
      <c r="H699" s="603"/>
      <c r="I699" s="607"/>
      <c r="J699" s="685" t="s">
        <v>98</v>
      </c>
      <c r="K699" s="225"/>
      <c r="L699" s="37"/>
      <c r="M699" s="37"/>
    </row>
    <row r="700" spans="1:13" s="38" customFormat="1" ht="51" customHeight="1">
      <c r="A700" s="696" t="s">
        <v>338</v>
      </c>
      <c r="B700" s="615">
        <v>22</v>
      </c>
      <c r="C700" s="300">
        <v>33.23</v>
      </c>
      <c r="D700" s="300">
        <f t="shared" si="36"/>
        <v>11.229999999999997</v>
      </c>
      <c r="E700" s="479">
        <f aca="true" t="shared" si="37" ref="E700:E707">SUM(C700/B700)</f>
        <v>1.5104545454545453</v>
      </c>
      <c r="F700" s="603"/>
      <c r="G700" s="607"/>
      <c r="H700" s="603"/>
      <c r="I700" s="607"/>
      <c r="J700" s="685" t="s">
        <v>98</v>
      </c>
      <c r="K700" s="225"/>
      <c r="L700" s="37"/>
      <c r="M700" s="37"/>
    </row>
    <row r="701" spans="1:13" s="38" customFormat="1" ht="36" customHeight="1">
      <c r="A701" s="600" t="s">
        <v>339</v>
      </c>
      <c r="B701" s="615">
        <v>42</v>
      </c>
      <c r="C701" s="300">
        <v>46.6</v>
      </c>
      <c r="D701" s="300">
        <f t="shared" si="36"/>
        <v>4.600000000000001</v>
      </c>
      <c r="E701" s="479">
        <f t="shared" si="37"/>
        <v>1.1095238095238096</v>
      </c>
      <c r="F701" s="603"/>
      <c r="G701" s="607"/>
      <c r="H701" s="603"/>
      <c r="I701" s="607"/>
      <c r="J701" s="685" t="s">
        <v>98</v>
      </c>
      <c r="K701" s="225"/>
      <c r="L701" s="37"/>
      <c r="M701" s="37"/>
    </row>
    <row r="702" spans="1:13" s="38" customFormat="1" ht="63.75" customHeight="1">
      <c r="A702" s="600" t="s">
        <v>345</v>
      </c>
      <c r="B702" s="615">
        <v>7</v>
      </c>
      <c r="C702" s="300">
        <v>3.66</v>
      </c>
      <c r="D702" s="300">
        <f t="shared" si="36"/>
        <v>-3.34</v>
      </c>
      <c r="E702" s="479">
        <f t="shared" si="37"/>
        <v>0.5228571428571429</v>
      </c>
      <c r="F702" s="603"/>
      <c r="G702" s="607"/>
      <c r="H702" s="603"/>
      <c r="I702" s="607"/>
      <c r="J702" s="685" t="s">
        <v>60</v>
      </c>
      <c r="K702" s="225"/>
      <c r="L702" s="37"/>
      <c r="M702" s="37"/>
    </row>
    <row r="703" spans="1:13" s="38" customFormat="1" ht="59.25" customHeight="1">
      <c r="A703" s="600" t="s">
        <v>346</v>
      </c>
      <c r="B703" s="687">
        <v>15</v>
      </c>
      <c r="C703" s="301">
        <v>6</v>
      </c>
      <c r="D703" s="300">
        <f t="shared" si="36"/>
        <v>-9</v>
      </c>
      <c r="E703" s="479">
        <f t="shared" si="37"/>
        <v>0.4</v>
      </c>
      <c r="F703" s="603"/>
      <c r="G703" s="607"/>
      <c r="H703" s="603"/>
      <c r="I703" s="607"/>
      <c r="J703" s="685" t="s">
        <v>60</v>
      </c>
      <c r="K703" s="225"/>
      <c r="L703" s="37"/>
      <c r="M703" s="37"/>
    </row>
    <row r="704" spans="1:13" s="38" customFormat="1" ht="38.25">
      <c r="A704" s="600" t="s">
        <v>347</v>
      </c>
      <c r="B704" s="687">
        <v>20</v>
      </c>
      <c r="C704" s="301">
        <v>12</v>
      </c>
      <c r="D704" s="300">
        <f t="shared" si="36"/>
        <v>-8</v>
      </c>
      <c r="E704" s="479">
        <f t="shared" si="37"/>
        <v>0.6</v>
      </c>
      <c r="F704" s="603"/>
      <c r="G704" s="607"/>
      <c r="H704" s="603"/>
      <c r="I704" s="607"/>
      <c r="J704" s="697" t="s">
        <v>723</v>
      </c>
      <c r="K704" s="225"/>
      <c r="L704" s="37"/>
      <c r="M704" s="37"/>
    </row>
    <row r="705" spans="1:13" s="38" customFormat="1" ht="47.25" customHeight="1">
      <c r="A705" s="600" t="s">
        <v>572</v>
      </c>
      <c r="B705" s="687">
        <v>40</v>
      </c>
      <c r="C705" s="687">
        <v>34</v>
      </c>
      <c r="D705" s="300">
        <f t="shared" si="36"/>
        <v>-6</v>
      </c>
      <c r="E705" s="479">
        <f t="shared" si="37"/>
        <v>0.85</v>
      </c>
      <c r="F705" s="603"/>
      <c r="G705" s="607"/>
      <c r="H705" s="603"/>
      <c r="I705" s="607"/>
      <c r="J705" s="697" t="s">
        <v>63</v>
      </c>
      <c r="K705" s="225"/>
      <c r="L705" s="37"/>
      <c r="M705" s="37"/>
    </row>
    <row r="706" spans="1:13" s="38" customFormat="1" ht="51">
      <c r="A706" s="600" t="s">
        <v>384</v>
      </c>
      <c r="B706" s="687">
        <v>180</v>
      </c>
      <c r="C706" s="301">
        <v>283</v>
      </c>
      <c r="D706" s="300">
        <f t="shared" si="36"/>
        <v>103</v>
      </c>
      <c r="E706" s="479">
        <f t="shared" si="37"/>
        <v>1.5722222222222222</v>
      </c>
      <c r="F706" s="603"/>
      <c r="G706" s="607"/>
      <c r="H706" s="603"/>
      <c r="I706" s="607"/>
      <c r="J706" s="685" t="s">
        <v>64</v>
      </c>
      <c r="K706" s="225"/>
      <c r="L706" s="37"/>
      <c r="M706" s="37"/>
    </row>
    <row r="707" spans="1:13" s="38" customFormat="1" ht="38.25">
      <c r="A707" s="600" t="s">
        <v>106</v>
      </c>
      <c r="B707" s="699">
        <v>70</v>
      </c>
      <c r="C707" s="700">
        <v>50.6</v>
      </c>
      <c r="D707" s="700">
        <f t="shared" si="36"/>
        <v>-19.4</v>
      </c>
      <c r="E707" s="702">
        <f t="shared" si="37"/>
        <v>0.7228571428571429</v>
      </c>
      <c r="F707" s="698"/>
      <c r="G707" s="607"/>
      <c r="H707" s="603"/>
      <c r="I707" s="607"/>
      <c r="J707" s="603" t="s">
        <v>99</v>
      </c>
      <c r="K707" s="225"/>
      <c r="L707" s="37"/>
      <c r="M707" s="37"/>
    </row>
    <row r="708" spans="1:13" s="38" customFormat="1" ht="25.5">
      <c r="A708" s="600" t="s">
        <v>357</v>
      </c>
      <c r="B708" s="699"/>
      <c r="C708" s="700"/>
      <c r="D708" s="700"/>
      <c r="E708" s="702"/>
      <c r="F708" s="698"/>
      <c r="G708" s="608">
        <f>G709/G717</f>
        <v>0.15487031840618376</v>
      </c>
      <c r="H708" s="603"/>
      <c r="I708" s="607"/>
      <c r="J708" s="607"/>
      <c r="K708" s="225"/>
      <c r="L708" s="37"/>
      <c r="M708" s="37"/>
    </row>
    <row r="709" spans="1:13" s="38" customFormat="1" ht="12.75" customHeight="1">
      <c r="A709" s="690" t="s">
        <v>641</v>
      </c>
      <c r="B709" s="616">
        <f>SUM(B698:B708)</f>
        <v>439</v>
      </c>
      <c r="C709" s="616">
        <f>SUM(C698:C708)</f>
        <v>502.22</v>
      </c>
      <c r="D709" s="616">
        <f>C709-B709</f>
        <v>63.22000000000003</v>
      </c>
      <c r="E709" s="380">
        <f>(SUM(E698:E708))/10</f>
        <v>0.9595563377766348</v>
      </c>
      <c r="F709" s="616">
        <f>F696+F697</f>
        <v>6075600</v>
      </c>
      <c r="G709" s="616">
        <f>G696+G697</f>
        <v>6075600</v>
      </c>
      <c r="H709" s="380">
        <f>(H696+H697)/2</f>
        <v>1</v>
      </c>
      <c r="I709" s="380">
        <f>E709/H709</f>
        <v>0.9595563377766348</v>
      </c>
      <c r="J709" s="617"/>
      <c r="K709" s="225"/>
      <c r="L709" s="37"/>
      <c r="M709" s="37"/>
    </row>
    <row r="710" spans="1:13" s="38" customFormat="1" ht="12.75">
      <c r="A710" s="837" t="s">
        <v>688</v>
      </c>
      <c r="B710" s="837"/>
      <c r="C710" s="837"/>
      <c r="D710" s="837"/>
      <c r="E710" s="837"/>
      <c r="F710" s="837"/>
      <c r="G710" s="837"/>
      <c r="H710" s="837"/>
      <c r="I710" s="837"/>
      <c r="J710" s="837"/>
      <c r="K710" s="225"/>
      <c r="L710" s="37"/>
      <c r="M710" s="37"/>
    </row>
    <row r="711" spans="1:13" s="38" customFormat="1" ht="51">
      <c r="A711" s="611" t="s">
        <v>524</v>
      </c>
      <c r="B711" s="610"/>
      <c r="C711" s="610"/>
      <c r="D711" s="610"/>
      <c r="E711" s="610"/>
      <c r="F711" s="612">
        <v>2363974.66</v>
      </c>
      <c r="G711" s="612">
        <v>2363974.66</v>
      </c>
      <c r="H711" s="613">
        <f>G711/F711</f>
        <v>1</v>
      </c>
      <c r="I711" s="610"/>
      <c r="J711" s="610"/>
      <c r="K711" s="225"/>
      <c r="L711" s="37"/>
      <c r="M711" s="37"/>
    </row>
    <row r="712" spans="1:13" s="38" customFormat="1" ht="36">
      <c r="A712" s="748" t="s">
        <v>525</v>
      </c>
      <c r="B712" s="699"/>
      <c r="C712" s="700"/>
      <c r="D712" s="699"/>
      <c r="E712" s="700"/>
      <c r="F712" s="212">
        <v>30012500</v>
      </c>
      <c r="G712" s="212">
        <v>28697166.89</v>
      </c>
      <c r="H712" s="212">
        <f>G712/F712</f>
        <v>0.9561738239067056</v>
      </c>
      <c r="I712" s="607"/>
      <c r="J712" s="755" t="s">
        <v>736</v>
      </c>
      <c r="K712" s="225"/>
      <c r="L712" s="37"/>
      <c r="M712" s="37"/>
    </row>
    <row r="713" spans="1:13" s="38" customFormat="1" ht="33.75" customHeight="1">
      <c r="A713" s="600" t="s">
        <v>127</v>
      </c>
      <c r="B713" s="615">
        <v>55.8</v>
      </c>
      <c r="C713" s="300">
        <v>59.86</v>
      </c>
      <c r="D713" s="522">
        <f>SUM(C713-B713)</f>
        <v>4.060000000000002</v>
      </c>
      <c r="E713" s="300">
        <f>SUM(C713/B713)</f>
        <v>1.0727598566308245</v>
      </c>
      <c r="F713" s="616"/>
      <c r="G713" s="616"/>
      <c r="H713" s="616"/>
      <c r="I713" s="380"/>
      <c r="J713" s="617"/>
      <c r="K713" s="364"/>
      <c r="L713" s="494"/>
      <c r="M713" s="37"/>
    </row>
    <row r="714" spans="1:13" s="38" customFormat="1" ht="51">
      <c r="A714" s="600" t="s">
        <v>65</v>
      </c>
      <c r="B714" s="615">
        <v>250</v>
      </c>
      <c r="C714" s="300">
        <v>102</v>
      </c>
      <c r="D714" s="104">
        <f>SUM(C714-B714)</f>
        <v>-148</v>
      </c>
      <c r="E714" s="300">
        <f>SUM(C714/B714)</f>
        <v>0.408</v>
      </c>
      <c r="F714" s="616"/>
      <c r="G714" s="616"/>
      <c r="H714" s="616"/>
      <c r="I714" s="380"/>
      <c r="J714" s="617"/>
      <c r="K714" s="364"/>
      <c r="L714" s="614"/>
      <c r="M714" s="37"/>
    </row>
    <row r="715" spans="1:13" s="38" customFormat="1" ht="25.5">
      <c r="A715" s="600" t="s">
        <v>89</v>
      </c>
      <c r="B715" s="615"/>
      <c r="C715" s="300"/>
      <c r="D715" s="104"/>
      <c r="E715" s="300"/>
      <c r="F715" s="616"/>
      <c r="G715" s="615">
        <f>G716/G717</f>
        <v>0.7917652383152355</v>
      </c>
      <c r="H715" s="616"/>
      <c r="I715" s="380"/>
      <c r="J715" s="617"/>
      <c r="K715" s="364"/>
      <c r="L715" s="614"/>
      <c r="M715" s="37"/>
    </row>
    <row r="716" spans="1:13" s="38" customFormat="1" ht="12.75" customHeight="1">
      <c r="A716" s="690" t="s">
        <v>100</v>
      </c>
      <c r="B716" s="380">
        <f>B713+B714</f>
        <v>305.8</v>
      </c>
      <c r="C716" s="380">
        <f>C713+C714</f>
        <v>161.86</v>
      </c>
      <c r="D716" s="380">
        <f>C716-B716</f>
        <v>-143.94</v>
      </c>
      <c r="E716" s="380">
        <f>(E713+E714)/2</f>
        <v>0.7403799283154122</v>
      </c>
      <c r="F716" s="616">
        <f>SUM(F711:F712)</f>
        <v>32376474.66</v>
      </c>
      <c r="G716" s="616">
        <f>SUM(G711:G712)</f>
        <v>31061141.55</v>
      </c>
      <c r="H716" s="380">
        <f>(H711+H712)/2</f>
        <v>0.9780869119533528</v>
      </c>
      <c r="I716" s="380">
        <f>E716/H716</f>
        <v>0.756967422083982</v>
      </c>
      <c r="J716" s="617"/>
      <c r="K716" s="228"/>
      <c r="L716" s="37"/>
      <c r="M716" s="37"/>
    </row>
    <row r="717" spans="1:11" s="5" customFormat="1" ht="12.75">
      <c r="A717" s="437" t="s">
        <v>689</v>
      </c>
      <c r="B717" s="433">
        <f>B694+B709+B716</f>
        <v>1727.3</v>
      </c>
      <c r="C717" s="433">
        <f>C694+C709+C716</f>
        <v>1625.6600000000003</v>
      </c>
      <c r="D717" s="433">
        <f>C717-B717</f>
        <v>-101.63999999999965</v>
      </c>
      <c r="E717" s="434">
        <f>(E694+E709+E716)/3</f>
        <v>0.9293519225827073</v>
      </c>
      <c r="F717" s="435">
        <f>F694+F709+F716</f>
        <v>40545574.66</v>
      </c>
      <c r="G717" s="435">
        <f>G694+G709+G716</f>
        <v>39230241.55</v>
      </c>
      <c r="H717" s="434">
        <f>G717/F717</f>
        <v>0.9675591449614442</v>
      </c>
      <c r="I717" s="434">
        <f>E717/H717</f>
        <v>0.9605117448605589</v>
      </c>
      <c r="J717" s="436"/>
      <c r="K717" s="364"/>
    </row>
    <row r="718" spans="1:12" s="5" customFormat="1" ht="12.75">
      <c r="A718" s="813" t="s">
        <v>359</v>
      </c>
      <c r="B718" s="813"/>
      <c r="C718" s="813"/>
      <c r="D718" s="813"/>
      <c r="E718" s="813"/>
      <c r="F718" s="813"/>
      <c r="G718" s="813"/>
      <c r="H718" s="813"/>
      <c r="I718" s="813"/>
      <c r="J718" s="813"/>
      <c r="K718" s="364"/>
      <c r="L718" s="23"/>
    </row>
    <row r="719" spans="1:12" s="5" customFormat="1" ht="12.75">
      <c r="A719" s="799" t="s">
        <v>358</v>
      </c>
      <c r="B719" s="800"/>
      <c r="C719" s="800"/>
      <c r="D719" s="800"/>
      <c r="E719" s="800"/>
      <c r="F719" s="800"/>
      <c r="G719" s="800"/>
      <c r="H719" s="800"/>
      <c r="I719" s="800"/>
      <c r="J719" s="800"/>
      <c r="K719" s="364"/>
      <c r="L719" s="23"/>
    </row>
    <row r="720" spans="1:11" s="5" customFormat="1" ht="12.75">
      <c r="A720" s="779" t="s">
        <v>360</v>
      </c>
      <c r="B720" s="779"/>
      <c r="C720" s="779"/>
      <c r="D720" s="779"/>
      <c r="E720" s="779"/>
      <c r="F720" s="779"/>
      <c r="G720" s="779"/>
      <c r="H720" s="779"/>
      <c r="I720" s="779"/>
      <c r="J720" s="779"/>
      <c r="K720" s="198"/>
    </row>
    <row r="721" spans="1:11" s="5" customFormat="1" ht="51">
      <c r="A721" s="232" t="s">
        <v>361</v>
      </c>
      <c r="B721" s="88"/>
      <c r="C721" s="88"/>
      <c r="D721" s="88"/>
      <c r="E721" s="237"/>
      <c r="F721" s="231">
        <v>18883040</v>
      </c>
      <c r="G721" s="231">
        <v>18883040</v>
      </c>
      <c r="H721" s="237">
        <f>G721/F721</f>
        <v>1</v>
      </c>
      <c r="I721" s="328"/>
      <c r="J721" s="372"/>
      <c r="K721" s="41"/>
    </row>
    <row r="722" spans="1:11" s="5" customFormat="1" ht="89.25">
      <c r="A722" s="232" t="s">
        <v>362</v>
      </c>
      <c r="B722" s="88">
        <v>97</v>
      </c>
      <c r="C722" s="88">
        <v>100</v>
      </c>
      <c r="D722" s="88">
        <f>C722-B722</f>
        <v>3</v>
      </c>
      <c r="E722" s="236">
        <f>C722/B722</f>
        <v>1.0309278350515463</v>
      </c>
      <c r="F722" s="231"/>
      <c r="G722" s="231"/>
      <c r="H722" s="237"/>
      <c r="I722" s="328"/>
      <c r="J722" s="372"/>
      <c r="K722" s="41"/>
    </row>
    <row r="723" spans="1:11" s="5" customFormat="1" ht="12.75">
      <c r="A723" s="553" t="s">
        <v>469</v>
      </c>
      <c r="B723" s="554">
        <v>97</v>
      </c>
      <c r="C723" s="554">
        <v>100</v>
      </c>
      <c r="D723" s="554">
        <f>C723-B723</f>
        <v>3</v>
      </c>
      <c r="E723" s="666">
        <f>E722</f>
        <v>1.0309278350515463</v>
      </c>
      <c r="F723" s="556">
        <f>F721</f>
        <v>18883040</v>
      </c>
      <c r="G723" s="556">
        <f>G721</f>
        <v>18883040</v>
      </c>
      <c r="H723" s="555">
        <f>H721</f>
        <v>1</v>
      </c>
      <c r="I723" s="557">
        <f>E723/H723</f>
        <v>1.0309278350515463</v>
      </c>
      <c r="J723" s="558"/>
      <c r="K723" s="41"/>
    </row>
    <row r="724" spans="1:11" s="5" customFormat="1" ht="12.75">
      <c r="A724" s="801" t="s">
        <v>363</v>
      </c>
      <c r="B724" s="802"/>
      <c r="C724" s="802"/>
      <c r="D724" s="802"/>
      <c r="E724" s="802"/>
      <c r="F724" s="802"/>
      <c r="G724" s="802"/>
      <c r="H724" s="802"/>
      <c r="I724" s="802"/>
      <c r="J724" s="802"/>
      <c r="K724" s="41"/>
    </row>
    <row r="725" spans="1:11" s="5" customFormat="1" ht="25.5">
      <c r="A725" s="357" t="s">
        <v>364</v>
      </c>
      <c r="B725" s="88"/>
      <c r="C725" s="88"/>
      <c r="D725" s="88"/>
      <c r="E725" s="237"/>
      <c r="F725" s="231">
        <v>17887612</v>
      </c>
      <c r="G725" s="231">
        <v>17326299.62</v>
      </c>
      <c r="H725" s="237">
        <f>G725/F725</f>
        <v>0.9686200494509832</v>
      </c>
      <c r="I725" s="328"/>
      <c r="J725" s="803" t="s">
        <v>366</v>
      </c>
      <c r="K725" s="41"/>
    </row>
    <row r="726" spans="1:11" s="5" customFormat="1" ht="25.5">
      <c r="A726" s="232" t="s">
        <v>365</v>
      </c>
      <c r="B726" s="88"/>
      <c r="C726" s="88"/>
      <c r="D726" s="88"/>
      <c r="E726" s="237"/>
      <c r="F726" s="231">
        <v>3904688</v>
      </c>
      <c r="G726" s="231">
        <v>3717779.61</v>
      </c>
      <c r="H726" s="237">
        <f>G726/F726</f>
        <v>0.9521323112115487</v>
      </c>
      <c r="I726" s="328"/>
      <c r="J726" s="804"/>
      <c r="K726" s="41"/>
    </row>
    <row r="727" spans="1:11" s="5" customFormat="1" ht="51">
      <c r="A727" s="357" t="s">
        <v>367</v>
      </c>
      <c r="B727" s="88"/>
      <c r="C727" s="88"/>
      <c r="D727" s="88"/>
      <c r="E727" s="237"/>
      <c r="F727" s="231">
        <v>1798900</v>
      </c>
      <c r="G727" s="231">
        <v>1726101.02</v>
      </c>
      <c r="H727" s="237">
        <f>G727/F727</f>
        <v>0.9595313914058592</v>
      </c>
      <c r="I727" s="328"/>
      <c r="J727" s="235" t="s">
        <v>368</v>
      </c>
      <c r="K727" s="41"/>
    </row>
    <row r="728" spans="1:11" s="5" customFormat="1" ht="51">
      <c r="A728" s="512" t="s">
        <v>369</v>
      </c>
      <c r="B728" s="326"/>
      <c r="C728" s="326"/>
      <c r="D728" s="326"/>
      <c r="E728" s="237"/>
      <c r="F728" s="231">
        <v>4891800</v>
      </c>
      <c r="G728" s="231">
        <v>4870255.6</v>
      </c>
      <c r="H728" s="237">
        <f>G728/F728</f>
        <v>0.9955958134020196</v>
      </c>
      <c r="I728" s="328"/>
      <c r="J728" s="202" t="s">
        <v>371</v>
      </c>
      <c r="K728" s="41"/>
    </row>
    <row r="729" spans="1:11" s="5" customFormat="1" ht="51">
      <c r="A729" s="512" t="s">
        <v>370</v>
      </c>
      <c r="B729" s="326"/>
      <c r="C729" s="326"/>
      <c r="D729" s="326"/>
      <c r="E729" s="237"/>
      <c r="F729" s="231">
        <v>2042400</v>
      </c>
      <c r="G729" s="231">
        <v>1939385.72</v>
      </c>
      <c r="H729" s="237">
        <f>G729/F729</f>
        <v>0.9495621425773599</v>
      </c>
      <c r="I729" s="328"/>
      <c r="J729" s="202" t="s">
        <v>372</v>
      </c>
      <c r="K729" s="41"/>
    </row>
    <row r="730" spans="1:11" s="5" customFormat="1" ht="51">
      <c r="A730" s="512" t="s">
        <v>373</v>
      </c>
      <c r="B730" s="88">
        <v>100</v>
      </c>
      <c r="C730" s="88">
        <v>100</v>
      </c>
      <c r="D730" s="88">
        <f aca="true" t="shared" si="38" ref="D730:D735">C730-B730</f>
        <v>0</v>
      </c>
      <c r="E730" s="237">
        <f>C730/B730</f>
        <v>1</v>
      </c>
      <c r="F730" s="231"/>
      <c r="G730" s="231"/>
      <c r="H730" s="237"/>
      <c r="I730" s="328"/>
      <c r="J730" s="202"/>
      <c r="K730" s="41"/>
    </row>
    <row r="731" spans="1:11" s="5" customFormat="1" ht="25.5">
      <c r="A731" s="512" t="s">
        <v>374</v>
      </c>
      <c r="B731" s="326">
        <v>43</v>
      </c>
      <c r="C731" s="326">
        <v>43</v>
      </c>
      <c r="D731" s="326">
        <f t="shared" si="38"/>
        <v>0</v>
      </c>
      <c r="E731" s="237">
        <f>C731/B731</f>
        <v>1</v>
      </c>
      <c r="F731" s="231"/>
      <c r="G731" s="231"/>
      <c r="H731" s="237"/>
      <c r="I731" s="328"/>
      <c r="J731" s="202"/>
      <c r="K731" s="41"/>
    </row>
    <row r="732" spans="1:11" s="5" customFormat="1" ht="25.5">
      <c r="A732" s="512" t="s">
        <v>375</v>
      </c>
      <c r="B732" s="326">
        <v>21</v>
      </c>
      <c r="C732" s="326">
        <v>21</v>
      </c>
      <c r="D732" s="326">
        <f t="shared" si="38"/>
        <v>0</v>
      </c>
      <c r="E732" s="237">
        <f>C732/B732</f>
        <v>1</v>
      </c>
      <c r="F732" s="231"/>
      <c r="G732" s="231"/>
      <c r="H732" s="237"/>
      <c r="I732" s="328"/>
      <c r="J732" s="202"/>
      <c r="K732" s="41"/>
    </row>
    <row r="733" spans="1:11" s="5" customFormat="1" ht="25.5">
      <c r="A733" s="265" t="s">
        <v>376</v>
      </c>
      <c r="B733" s="88">
        <v>466</v>
      </c>
      <c r="C733" s="88">
        <v>271</v>
      </c>
      <c r="D733" s="326">
        <f t="shared" si="38"/>
        <v>-195</v>
      </c>
      <c r="E733" s="237">
        <f>C733/B733</f>
        <v>0.5815450643776824</v>
      </c>
      <c r="F733" s="231"/>
      <c r="G733" s="231"/>
      <c r="H733" s="237"/>
      <c r="I733" s="328"/>
      <c r="J733" s="235" t="s">
        <v>445</v>
      </c>
      <c r="K733" s="41"/>
    </row>
    <row r="734" spans="1:11" s="5" customFormat="1" ht="76.5">
      <c r="A734" s="265" t="s">
        <v>377</v>
      </c>
      <c r="B734" s="88">
        <v>100</v>
      </c>
      <c r="C734" s="88">
        <v>100</v>
      </c>
      <c r="D734" s="88">
        <f t="shared" si="38"/>
        <v>0</v>
      </c>
      <c r="E734" s="237">
        <f>C734/B734</f>
        <v>1</v>
      </c>
      <c r="F734" s="231"/>
      <c r="G734" s="231"/>
      <c r="H734" s="237"/>
      <c r="I734" s="328"/>
      <c r="J734" s="202"/>
      <c r="K734" s="41"/>
    </row>
    <row r="735" spans="1:11" s="5" customFormat="1" ht="12.75">
      <c r="A735" s="559" t="s">
        <v>592</v>
      </c>
      <c r="B735" s="560">
        <f>SUM(B730:B734)</f>
        <v>730</v>
      </c>
      <c r="C735" s="560">
        <f>SUM(C730:C734)</f>
        <v>535</v>
      </c>
      <c r="D735" s="560">
        <f t="shared" si="38"/>
        <v>-195</v>
      </c>
      <c r="E735" s="561">
        <f>(E730+E731+E732+E733+E734)/5</f>
        <v>0.9163090128755365</v>
      </c>
      <c r="F735" s="562">
        <f>F725+F726+F727+F728+F729</f>
        <v>30525400</v>
      </c>
      <c r="G735" s="562">
        <f>G725+G726+G727+G728+G729</f>
        <v>29579821.57</v>
      </c>
      <c r="H735" s="561">
        <f>(H721+H725+H726+H727+H728)/5</f>
        <v>0.975175913094082</v>
      </c>
      <c r="I735" s="561">
        <f>E735/H735</f>
        <v>0.939634583434521</v>
      </c>
      <c r="J735" s="563"/>
      <c r="K735" s="41"/>
    </row>
    <row r="736" spans="1:11" s="5" customFormat="1" ht="27.75" customHeight="1">
      <c r="A736" s="805" t="s">
        <v>378</v>
      </c>
      <c r="B736" s="805"/>
      <c r="C736" s="805"/>
      <c r="D736" s="805"/>
      <c r="E736" s="805"/>
      <c r="F736" s="805"/>
      <c r="G736" s="805"/>
      <c r="H736" s="805"/>
      <c r="I736" s="805"/>
      <c r="J736" s="805"/>
      <c r="K736" s="41"/>
    </row>
    <row r="737" spans="1:11" s="5" customFormat="1" ht="51">
      <c r="A737" s="551" t="s">
        <v>379</v>
      </c>
      <c r="B737" s="552"/>
      <c r="C737" s="552"/>
      <c r="D737" s="88"/>
      <c r="E737" s="236"/>
      <c r="F737" s="327">
        <v>184330000</v>
      </c>
      <c r="G737" s="327">
        <v>183719500</v>
      </c>
      <c r="H737" s="237">
        <f>G737/F737</f>
        <v>0.9966880052080508</v>
      </c>
      <c r="I737" s="328"/>
      <c r="J737" s="235" t="s">
        <v>440</v>
      </c>
      <c r="K737" s="41"/>
    </row>
    <row r="738" spans="1:11" s="5" customFormat="1" ht="51">
      <c r="A738" s="232" t="s">
        <v>380</v>
      </c>
      <c r="B738" s="88"/>
      <c r="C738" s="88"/>
      <c r="D738" s="88"/>
      <c r="E738" s="236"/>
      <c r="F738" s="231">
        <v>40800</v>
      </c>
      <c r="G738" s="231">
        <v>40769.98</v>
      </c>
      <c r="H738" s="237">
        <f aca="true" t="shared" si="39" ref="H738:H748">G738/F738</f>
        <v>0.9992642156862745</v>
      </c>
      <c r="I738" s="328"/>
      <c r="J738" s="234"/>
      <c r="K738" s="41"/>
    </row>
    <row r="739" spans="1:11" s="5" customFormat="1" ht="51">
      <c r="A739" s="232" t="s">
        <v>381</v>
      </c>
      <c r="B739" s="552"/>
      <c r="C739" s="552"/>
      <c r="D739" s="88"/>
      <c r="E739" s="237"/>
      <c r="F739" s="231">
        <v>6506800</v>
      </c>
      <c r="G739" s="231">
        <v>6566268.22</v>
      </c>
      <c r="H739" s="237">
        <f t="shared" si="39"/>
        <v>1.0091393957091044</v>
      </c>
      <c r="I739" s="328"/>
      <c r="J739" s="235" t="s">
        <v>441</v>
      </c>
      <c r="K739" s="41"/>
    </row>
    <row r="740" spans="1:11" s="5" customFormat="1" ht="63.75">
      <c r="A740" s="232" t="s">
        <v>382</v>
      </c>
      <c r="B740" s="88"/>
      <c r="C740" s="88"/>
      <c r="D740" s="88"/>
      <c r="E740" s="237"/>
      <c r="F740" s="231">
        <v>6483300</v>
      </c>
      <c r="G740" s="231">
        <v>6470300</v>
      </c>
      <c r="H740" s="237">
        <f t="shared" si="39"/>
        <v>0.997994848302562</v>
      </c>
      <c r="I740" s="328"/>
      <c r="J740" s="235" t="s">
        <v>442</v>
      </c>
      <c r="K740" s="41"/>
    </row>
    <row r="741" spans="1:11" s="5" customFormat="1" ht="51">
      <c r="A741" s="232" t="s">
        <v>383</v>
      </c>
      <c r="B741" s="88"/>
      <c r="C741" s="88"/>
      <c r="D741" s="88"/>
      <c r="E741" s="237"/>
      <c r="F741" s="231">
        <v>109400</v>
      </c>
      <c r="G741" s="231">
        <v>100060.55</v>
      </c>
      <c r="H741" s="236">
        <f t="shared" si="39"/>
        <v>0.9146302559414992</v>
      </c>
      <c r="I741" s="328"/>
      <c r="J741" s="235" t="s">
        <v>443</v>
      </c>
      <c r="K741" s="41"/>
    </row>
    <row r="742" spans="1:11" s="5" customFormat="1" ht="45" customHeight="1">
      <c r="A742" s="232" t="s">
        <v>435</v>
      </c>
      <c r="B742" s="88"/>
      <c r="C742" s="88"/>
      <c r="D742" s="88"/>
      <c r="E742" s="237"/>
      <c r="F742" s="231">
        <v>10300</v>
      </c>
      <c r="G742" s="231">
        <v>10231.2</v>
      </c>
      <c r="H742" s="236">
        <f t="shared" si="39"/>
        <v>0.9933203883495146</v>
      </c>
      <c r="I742" s="328"/>
      <c r="J742" s="234"/>
      <c r="K742" s="41"/>
    </row>
    <row r="743" spans="1:11" s="5" customFormat="1" ht="25.5">
      <c r="A743" s="232" t="s">
        <v>436</v>
      </c>
      <c r="B743" s="88"/>
      <c r="C743" s="88"/>
      <c r="D743" s="88"/>
      <c r="E743" s="237"/>
      <c r="F743" s="231">
        <v>346300</v>
      </c>
      <c r="G743" s="231">
        <v>329389.95</v>
      </c>
      <c r="H743" s="237">
        <f t="shared" si="39"/>
        <v>0.9511693618250072</v>
      </c>
      <c r="I743" s="328"/>
      <c r="J743" s="234"/>
      <c r="K743" s="41"/>
    </row>
    <row r="744" spans="1:11" s="5" customFormat="1" ht="51">
      <c r="A744" s="232" t="s">
        <v>437</v>
      </c>
      <c r="B744" s="326"/>
      <c r="C744" s="326"/>
      <c r="D744" s="326"/>
      <c r="E744" s="237"/>
      <c r="F744" s="231">
        <v>11660700</v>
      </c>
      <c r="G744" s="231">
        <v>11655400</v>
      </c>
      <c r="H744" s="237">
        <f t="shared" si="39"/>
        <v>0.999545481832137</v>
      </c>
      <c r="I744" s="328"/>
      <c r="J744" s="235" t="s">
        <v>444</v>
      </c>
      <c r="K744" s="41"/>
    </row>
    <row r="745" spans="1:11" s="5" customFormat="1" ht="51">
      <c r="A745" s="232" t="s">
        <v>167</v>
      </c>
      <c r="B745" s="326"/>
      <c r="C745" s="326"/>
      <c r="D745" s="326"/>
      <c r="E745" s="237"/>
      <c r="F745" s="231">
        <v>3968900</v>
      </c>
      <c r="G745" s="231">
        <v>2531387.86</v>
      </c>
      <c r="H745" s="237">
        <f t="shared" si="39"/>
        <v>0.6378059059185164</v>
      </c>
      <c r="I745" s="328"/>
      <c r="J745" s="235" t="s">
        <v>446</v>
      </c>
      <c r="K745" s="41"/>
    </row>
    <row r="746" spans="1:11" s="5" customFormat="1" ht="51">
      <c r="A746" s="232" t="s">
        <v>438</v>
      </c>
      <c r="B746" s="326"/>
      <c r="C746" s="326"/>
      <c r="D746" s="326"/>
      <c r="E746" s="237"/>
      <c r="F746" s="231">
        <v>1260300</v>
      </c>
      <c r="G746" s="231">
        <v>1233440.36</v>
      </c>
      <c r="H746" s="237">
        <f t="shared" si="39"/>
        <v>0.9786878997064192</v>
      </c>
      <c r="I746" s="328"/>
      <c r="J746" s="235" t="s">
        <v>447</v>
      </c>
      <c r="K746" s="41"/>
    </row>
    <row r="747" spans="1:11" s="5" customFormat="1" ht="25.5">
      <c r="A747" s="232" t="s">
        <v>596</v>
      </c>
      <c r="B747" s="326"/>
      <c r="C747" s="326"/>
      <c r="D747" s="326"/>
      <c r="E747" s="237"/>
      <c r="F747" s="231">
        <v>33005800</v>
      </c>
      <c r="G747" s="231">
        <v>31547695.93</v>
      </c>
      <c r="H747" s="237">
        <f t="shared" si="39"/>
        <v>0.9558227926606838</v>
      </c>
      <c r="I747" s="328"/>
      <c r="J747" s="235" t="s">
        <v>445</v>
      </c>
      <c r="K747" s="41"/>
    </row>
    <row r="748" spans="1:11" s="5" customFormat="1" ht="25.5">
      <c r="A748" s="232" t="s">
        <v>439</v>
      </c>
      <c r="B748" s="326"/>
      <c r="C748" s="326"/>
      <c r="D748" s="326"/>
      <c r="E748" s="237"/>
      <c r="F748" s="231">
        <v>4873200</v>
      </c>
      <c r="G748" s="231">
        <v>4873196.22</v>
      </c>
      <c r="H748" s="237">
        <f t="shared" si="39"/>
        <v>0.9999992243289829</v>
      </c>
      <c r="I748" s="328"/>
      <c r="J748" s="234"/>
      <c r="K748" s="41"/>
    </row>
    <row r="749" spans="1:11" s="5" customFormat="1" ht="51">
      <c r="A749" s="232" t="s">
        <v>448</v>
      </c>
      <c r="B749" s="88">
        <v>100</v>
      </c>
      <c r="C749" s="88">
        <v>100</v>
      </c>
      <c r="D749" s="326">
        <f>C749-B749</f>
        <v>0</v>
      </c>
      <c r="E749" s="237">
        <f>C749/B749</f>
        <v>1</v>
      </c>
      <c r="F749" s="231"/>
      <c r="G749" s="231"/>
      <c r="H749" s="237"/>
      <c r="I749" s="328"/>
      <c r="J749" s="234"/>
      <c r="K749" s="41"/>
    </row>
    <row r="750" spans="1:11" s="5" customFormat="1" ht="25.5">
      <c r="A750" s="232" t="s">
        <v>449</v>
      </c>
      <c r="B750" s="326">
        <v>9779</v>
      </c>
      <c r="C750" s="326">
        <v>9779</v>
      </c>
      <c r="D750" s="326">
        <f aca="true" t="shared" si="40" ref="D750:D762">C750-B750</f>
        <v>0</v>
      </c>
      <c r="E750" s="237">
        <f aca="true" t="shared" si="41" ref="E750:E761">C750/B750</f>
        <v>1</v>
      </c>
      <c r="F750" s="231"/>
      <c r="G750" s="231"/>
      <c r="H750" s="237"/>
      <c r="I750" s="328"/>
      <c r="J750" s="234"/>
      <c r="K750" s="41"/>
    </row>
    <row r="751" spans="1:11" s="5" customFormat="1" ht="38.25">
      <c r="A751" s="232" t="s">
        <v>450</v>
      </c>
      <c r="B751" s="326">
        <v>2</v>
      </c>
      <c r="C751" s="326">
        <v>2</v>
      </c>
      <c r="D751" s="326">
        <f t="shared" si="40"/>
        <v>0</v>
      </c>
      <c r="E751" s="237">
        <f t="shared" si="41"/>
        <v>1</v>
      </c>
      <c r="F751" s="231"/>
      <c r="G751" s="231"/>
      <c r="H751" s="237"/>
      <c r="I751" s="328"/>
      <c r="J751" s="234"/>
      <c r="K751" s="41"/>
    </row>
    <row r="752" spans="1:11" s="5" customFormat="1" ht="25.5">
      <c r="A752" s="357" t="s">
        <v>451</v>
      </c>
      <c r="B752" s="326">
        <v>416</v>
      </c>
      <c r="C752" s="326">
        <v>416</v>
      </c>
      <c r="D752" s="326">
        <f t="shared" si="40"/>
        <v>0</v>
      </c>
      <c r="E752" s="237">
        <f t="shared" si="41"/>
        <v>1</v>
      </c>
      <c r="F752" s="231"/>
      <c r="G752" s="231"/>
      <c r="H752" s="237"/>
      <c r="I752" s="328"/>
      <c r="J752" s="234"/>
      <c r="K752" s="41"/>
    </row>
    <row r="753" spans="1:11" s="5" customFormat="1" ht="25.5">
      <c r="A753" s="512" t="s">
        <v>451</v>
      </c>
      <c r="B753" s="326">
        <v>478</v>
      </c>
      <c r="C753" s="326">
        <v>478</v>
      </c>
      <c r="D753" s="326">
        <f t="shared" si="40"/>
        <v>0</v>
      </c>
      <c r="E753" s="237">
        <f t="shared" si="41"/>
        <v>1</v>
      </c>
      <c r="F753" s="231"/>
      <c r="G753" s="231"/>
      <c r="H753" s="237"/>
      <c r="I753" s="328"/>
      <c r="J753" s="234"/>
      <c r="K753" s="41"/>
    </row>
    <row r="754" spans="1:11" s="5" customFormat="1" ht="38.25">
      <c r="A754" s="232" t="s">
        <v>452</v>
      </c>
      <c r="B754" s="326">
        <v>6</v>
      </c>
      <c r="C754" s="326">
        <v>6</v>
      </c>
      <c r="D754" s="326">
        <f t="shared" si="40"/>
        <v>0</v>
      </c>
      <c r="E754" s="237">
        <f t="shared" si="41"/>
        <v>1</v>
      </c>
      <c r="F754" s="231"/>
      <c r="G754" s="231"/>
      <c r="H754" s="237"/>
      <c r="I754" s="328"/>
      <c r="J754" s="234"/>
      <c r="K754" s="41"/>
    </row>
    <row r="755" spans="1:11" s="5" customFormat="1" ht="25.5">
      <c r="A755" s="232" t="s">
        <v>453</v>
      </c>
      <c r="B755" s="326">
        <v>5</v>
      </c>
      <c r="C755" s="326">
        <v>5</v>
      </c>
      <c r="D755" s="326">
        <f t="shared" si="40"/>
        <v>0</v>
      </c>
      <c r="E755" s="237">
        <f t="shared" si="41"/>
        <v>1</v>
      </c>
      <c r="F755" s="231"/>
      <c r="G755" s="231"/>
      <c r="H755" s="237"/>
      <c r="I755" s="328"/>
      <c r="J755" s="234"/>
      <c r="K755" s="41"/>
    </row>
    <row r="756" spans="1:11" s="5" customFormat="1" ht="38.25">
      <c r="A756" s="357" t="s">
        <v>454</v>
      </c>
      <c r="B756" s="88">
        <v>35</v>
      </c>
      <c r="C756" s="88">
        <v>36</v>
      </c>
      <c r="D756" s="326">
        <f t="shared" si="40"/>
        <v>1</v>
      </c>
      <c r="E756" s="237">
        <f t="shared" si="41"/>
        <v>1.0285714285714285</v>
      </c>
      <c r="F756" s="231"/>
      <c r="G756" s="231"/>
      <c r="H756" s="237"/>
      <c r="I756" s="328"/>
      <c r="J756" s="235" t="s">
        <v>445</v>
      </c>
      <c r="K756" s="41"/>
    </row>
    <row r="757" spans="1:11" s="5" customFormat="1" ht="38.25">
      <c r="A757" s="232" t="s">
        <v>455</v>
      </c>
      <c r="B757" s="326">
        <v>2307</v>
      </c>
      <c r="C757" s="326">
        <v>2307</v>
      </c>
      <c r="D757" s="326">
        <f t="shared" si="40"/>
        <v>0</v>
      </c>
      <c r="E757" s="237">
        <f t="shared" si="41"/>
        <v>1</v>
      </c>
      <c r="F757" s="231"/>
      <c r="G757" s="231"/>
      <c r="H757" s="237"/>
      <c r="I757" s="328"/>
      <c r="J757" s="234"/>
      <c r="K757" s="41"/>
    </row>
    <row r="758" spans="1:11" s="5" customFormat="1" ht="25.5">
      <c r="A758" s="232" t="s">
        <v>456</v>
      </c>
      <c r="B758" s="326">
        <v>184</v>
      </c>
      <c r="C758" s="326">
        <v>184</v>
      </c>
      <c r="D758" s="326">
        <f t="shared" si="40"/>
        <v>0</v>
      </c>
      <c r="E758" s="237">
        <f t="shared" si="41"/>
        <v>1</v>
      </c>
      <c r="F758" s="231"/>
      <c r="G758" s="231"/>
      <c r="H758" s="237"/>
      <c r="I758" s="328"/>
      <c r="J758" s="234"/>
      <c r="K758" s="41"/>
    </row>
    <row r="759" spans="1:11" s="5" customFormat="1" ht="38.25">
      <c r="A759" s="232" t="s">
        <v>457</v>
      </c>
      <c r="B759" s="326">
        <v>41</v>
      </c>
      <c r="C759" s="326">
        <v>41</v>
      </c>
      <c r="D759" s="326">
        <f t="shared" si="40"/>
        <v>0</v>
      </c>
      <c r="E759" s="237">
        <f t="shared" si="41"/>
        <v>1</v>
      </c>
      <c r="F759" s="231"/>
      <c r="G759" s="231"/>
      <c r="H759" s="237"/>
      <c r="I759" s="328"/>
      <c r="J759" s="234"/>
      <c r="K759" s="41"/>
    </row>
    <row r="760" spans="1:11" s="5" customFormat="1" ht="25.5">
      <c r="A760" s="232" t="s">
        <v>458</v>
      </c>
      <c r="B760" s="326">
        <v>3029</v>
      </c>
      <c r="C760" s="326">
        <v>3029</v>
      </c>
      <c r="D760" s="326">
        <f t="shared" si="40"/>
        <v>0</v>
      </c>
      <c r="E760" s="237">
        <f t="shared" si="41"/>
        <v>1</v>
      </c>
      <c r="F760" s="231"/>
      <c r="G760" s="231"/>
      <c r="H760" s="237"/>
      <c r="I760" s="328"/>
      <c r="J760" s="234"/>
      <c r="K760" s="41"/>
    </row>
    <row r="761" spans="1:11" s="5" customFormat="1" ht="38.25">
      <c r="A761" s="232" t="s">
        <v>459</v>
      </c>
      <c r="B761" s="326">
        <v>290</v>
      </c>
      <c r="C761" s="326">
        <v>290</v>
      </c>
      <c r="D761" s="326">
        <f t="shared" si="40"/>
        <v>0</v>
      </c>
      <c r="E761" s="237">
        <f t="shared" si="41"/>
        <v>1</v>
      </c>
      <c r="F761" s="231"/>
      <c r="G761" s="231"/>
      <c r="H761" s="237"/>
      <c r="I761" s="328"/>
      <c r="J761" s="234"/>
      <c r="K761" s="41"/>
    </row>
    <row r="762" spans="1:11" s="5" customFormat="1" ht="12.75">
      <c r="A762" s="559" t="s">
        <v>470</v>
      </c>
      <c r="B762" s="560">
        <f>SUM(B743:B761)</f>
        <v>16672</v>
      </c>
      <c r="C762" s="560">
        <f>SUM(C743:C761)</f>
        <v>16673</v>
      </c>
      <c r="D762" s="560">
        <f t="shared" si="40"/>
        <v>1</v>
      </c>
      <c r="E762" s="561">
        <f>(E750+E751+E752+E753+E754+E755+E756+E757+E758+E759+E760+E761)/12</f>
        <v>1.0023809523809524</v>
      </c>
      <c r="F762" s="564">
        <f>SUM(F737:F748)</f>
        <v>252595800</v>
      </c>
      <c r="G762" s="562">
        <f>SUM(G737:G748)</f>
        <v>249077640.27</v>
      </c>
      <c r="H762" s="565">
        <f>(SUM(H737:H748)/12)</f>
        <v>0.9528389812890626</v>
      </c>
      <c r="I762" s="566">
        <f>E762/H762</f>
        <v>1.051994064122845</v>
      </c>
      <c r="J762" s="563"/>
      <c r="K762" s="41"/>
    </row>
    <row r="763" spans="1:11" s="5" customFormat="1" ht="12.75">
      <c r="A763" s="799" t="s">
        <v>460</v>
      </c>
      <c r="B763" s="799"/>
      <c r="C763" s="799"/>
      <c r="D763" s="799"/>
      <c r="E763" s="799"/>
      <c r="F763" s="799"/>
      <c r="G763" s="799"/>
      <c r="H763" s="799"/>
      <c r="I763" s="799"/>
      <c r="J763" s="799"/>
      <c r="K763" s="41"/>
    </row>
    <row r="764" spans="1:11" s="5" customFormat="1" ht="38.25">
      <c r="A764" s="232" t="s">
        <v>168</v>
      </c>
      <c r="B764" s="325"/>
      <c r="C764" s="325"/>
      <c r="D764" s="326"/>
      <c r="E764" s="237"/>
      <c r="F764" s="231">
        <v>17864190</v>
      </c>
      <c r="G764" s="231">
        <v>17864190</v>
      </c>
      <c r="H764" s="236">
        <f>G764/F764</f>
        <v>1</v>
      </c>
      <c r="I764" s="488">
        <f>E764/H764</f>
        <v>0</v>
      </c>
      <c r="J764" s="235"/>
      <c r="K764" s="41"/>
    </row>
    <row r="765" spans="1:11" s="5" customFormat="1" ht="63.75">
      <c r="A765" s="232" t="s">
        <v>461</v>
      </c>
      <c r="B765" s="552">
        <v>98</v>
      </c>
      <c r="C765" s="552">
        <v>100</v>
      </c>
      <c r="D765" s="88">
        <f>C765-B765</f>
        <v>2</v>
      </c>
      <c r="E765" s="237">
        <f>C765/B765</f>
        <v>1.0204081632653061</v>
      </c>
      <c r="F765" s="231"/>
      <c r="G765" s="231"/>
      <c r="H765" s="236"/>
      <c r="I765" s="488"/>
      <c r="J765" s="235"/>
      <c r="K765" s="41"/>
    </row>
    <row r="766" spans="1:11" s="5" customFormat="1" ht="25.5">
      <c r="A766" s="232" t="s">
        <v>462</v>
      </c>
      <c r="B766" s="552">
        <v>74</v>
      </c>
      <c r="C766" s="552">
        <v>74</v>
      </c>
      <c r="D766" s="88">
        <f>C766-B766</f>
        <v>0</v>
      </c>
      <c r="E766" s="237">
        <f>C766/B766</f>
        <v>1</v>
      </c>
      <c r="F766" s="231"/>
      <c r="G766" s="231"/>
      <c r="H766" s="236"/>
      <c r="I766" s="488"/>
      <c r="J766" s="235"/>
      <c r="K766" s="41"/>
    </row>
    <row r="767" spans="1:11" s="5" customFormat="1" ht="63.75">
      <c r="A767" s="232" t="s">
        <v>463</v>
      </c>
      <c r="B767" s="552">
        <v>100</v>
      </c>
      <c r="C767" s="552">
        <v>100</v>
      </c>
      <c r="D767" s="88">
        <f>C767-B767</f>
        <v>0</v>
      </c>
      <c r="E767" s="237">
        <f>C767/B767</f>
        <v>1</v>
      </c>
      <c r="F767" s="231"/>
      <c r="G767" s="231"/>
      <c r="H767" s="236"/>
      <c r="I767" s="488"/>
      <c r="J767" s="235"/>
      <c r="K767" s="41"/>
    </row>
    <row r="768" spans="1:11" s="5" customFormat="1" ht="12.75">
      <c r="A768" s="559" t="s">
        <v>170</v>
      </c>
      <c r="B768" s="667">
        <f>B765+B766+B767</f>
        <v>272</v>
      </c>
      <c r="C768" s="667">
        <f>C765+C766+C767</f>
        <v>274</v>
      </c>
      <c r="D768" s="667">
        <f>C768-B768</f>
        <v>2</v>
      </c>
      <c r="E768" s="561">
        <f>(E765+E766+E767)/3</f>
        <v>1.0068027210884354</v>
      </c>
      <c r="F768" s="562">
        <f>F764</f>
        <v>17864190</v>
      </c>
      <c r="G768" s="562">
        <f>G764</f>
        <v>17864190</v>
      </c>
      <c r="H768" s="567">
        <f>G768/F768</f>
        <v>1</v>
      </c>
      <c r="I768" s="568">
        <f>E768/H768</f>
        <v>1.0068027210884354</v>
      </c>
      <c r="J768" s="563"/>
      <c r="K768" s="41"/>
    </row>
    <row r="769" spans="1:11" s="5" customFormat="1" ht="12.75">
      <c r="A769" s="833" t="s">
        <v>464</v>
      </c>
      <c r="B769" s="833"/>
      <c r="C769" s="833"/>
      <c r="D769" s="833"/>
      <c r="E769" s="833"/>
      <c r="F769" s="833"/>
      <c r="G769" s="833"/>
      <c r="H769" s="833"/>
      <c r="I769" s="833"/>
      <c r="J769" s="833"/>
      <c r="K769" s="41"/>
    </row>
    <row r="770" spans="1:11" s="5" customFormat="1" ht="51">
      <c r="A770" s="232" t="s">
        <v>465</v>
      </c>
      <c r="B770" s="326"/>
      <c r="C770" s="326"/>
      <c r="D770" s="326"/>
      <c r="E770" s="237"/>
      <c r="F770" s="231">
        <v>25831010</v>
      </c>
      <c r="G770" s="231">
        <v>27648596.06</v>
      </c>
      <c r="H770" s="236">
        <f>G770/F770</f>
        <v>1.0703644983297207</v>
      </c>
      <c r="I770" s="488">
        <f>E770/H770</f>
        <v>0</v>
      </c>
      <c r="J770" s="235" t="s">
        <v>466</v>
      </c>
      <c r="K770" s="41"/>
    </row>
    <row r="771" spans="1:11" s="5" customFormat="1" ht="12.75">
      <c r="A771" s="559" t="s">
        <v>72</v>
      </c>
      <c r="B771" s="560">
        <f aca="true" t="shared" si="42" ref="B771:G771">B770</f>
        <v>0</v>
      </c>
      <c r="C771" s="560">
        <f t="shared" si="42"/>
        <v>0</v>
      </c>
      <c r="D771" s="560">
        <f t="shared" si="42"/>
        <v>0</v>
      </c>
      <c r="E771" s="561">
        <f t="shared" si="42"/>
        <v>0</v>
      </c>
      <c r="F771" s="569">
        <f t="shared" si="42"/>
        <v>25831010</v>
      </c>
      <c r="G771" s="569">
        <f t="shared" si="42"/>
        <v>27648596.06</v>
      </c>
      <c r="H771" s="570">
        <f>G771/F771</f>
        <v>1.0703644983297207</v>
      </c>
      <c r="I771" s="568">
        <f>E771/H771</f>
        <v>0</v>
      </c>
      <c r="J771" s="563"/>
      <c r="K771" s="41"/>
    </row>
    <row r="772" spans="1:11" s="5" customFormat="1" ht="12.75">
      <c r="A772" s="749" t="s">
        <v>467</v>
      </c>
      <c r="B772" s="750">
        <f>B723+B735+B762+B768</f>
        <v>17771</v>
      </c>
      <c r="C772" s="750">
        <f>C723+C735+C762+C768</f>
        <v>17582</v>
      </c>
      <c r="D772" s="750">
        <f>C772-B772</f>
        <v>-189</v>
      </c>
      <c r="E772" s="750">
        <f>(E723+E735+E762+E768)/4</f>
        <v>0.9891051303491176</v>
      </c>
      <c r="F772" s="750">
        <f>F723+F735+F762+F768+F771</f>
        <v>345699440</v>
      </c>
      <c r="G772" s="750">
        <f>G723+G735+G762+G768+G771</f>
        <v>343053287.90000004</v>
      </c>
      <c r="H772" s="751">
        <f>(H723+H735+H762+H768+H771)/5</f>
        <v>0.999675878542573</v>
      </c>
      <c r="I772" s="750">
        <f>E772/H772</f>
        <v>0.989425824489367</v>
      </c>
      <c r="J772" s="750"/>
      <c r="K772" s="41"/>
    </row>
    <row r="773" spans="1:11" s="5" customFormat="1" ht="12.75">
      <c r="A773" s="775" t="s">
        <v>336</v>
      </c>
      <c r="B773" s="776"/>
      <c r="C773" s="776"/>
      <c r="D773" s="776"/>
      <c r="E773" s="776"/>
      <c r="F773" s="776"/>
      <c r="G773" s="776"/>
      <c r="H773" s="776"/>
      <c r="I773" s="776"/>
      <c r="J773" s="776"/>
      <c r="K773" s="41"/>
    </row>
    <row r="774" spans="1:11" s="5" customFormat="1" ht="15.75" customHeight="1">
      <c r="A774" s="825" t="s">
        <v>421</v>
      </c>
      <c r="B774" s="826"/>
      <c r="C774" s="826"/>
      <c r="D774" s="826"/>
      <c r="E774" s="826"/>
      <c r="F774" s="826"/>
      <c r="G774" s="826"/>
      <c r="H774" s="826"/>
      <c r="I774" s="826"/>
      <c r="J774" s="826"/>
      <c r="K774" s="41"/>
    </row>
    <row r="775" spans="1:11" s="5" customFormat="1" ht="63.75">
      <c r="A775" s="256" t="s">
        <v>422</v>
      </c>
      <c r="B775" s="268"/>
      <c r="C775" s="268"/>
      <c r="D775" s="269"/>
      <c r="E775" s="276"/>
      <c r="F775" s="268">
        <v>559700</v>
      </c>
      <c r="G775" s="268">
        <v>559700</v>
      </c>
      <c r="H775" s="274">
        <f>G775/F775</f>
        <v>1</v>
      </c>
      <c r="I775" s="277"/>
      <c r="J775" s="278"/>
      <c r="K775" s="41"/>
    </row>
    <row r="776" spans="1:11" s="5" customFormat="1" ht="25.5">
      <c r="A776" s="256" t="s">
        <v>423</v>
      </c>
      <c r="B776" s="268">
        <v>62</v>
      </c>
      <c r="C776" s="268">
        <v>62</v>
      </c>
      <c r="D776" s="269">
        <f>C776-B776</f>
        <v>0</v>
      </c>
      <c r="E776" s="276">
        <f>C776/B776</f>
        <v>1</v>
      </c>
      <c r="F776" s="268"/>
      <c r="G776" s="268"/>
      <c r="H776" s="274"/>
      <c r="I776" s="268"/>
      <c r="J776" s="278"/>
      <c r="K776" s="41"/>
    </row>
    <row r="777" spans="1:11" s="5" customFormat="1" ht="30" customHeight="1">
      <c r="A777" s="256" t="s">
        <v>424</v>
      </c>
      <c r="B777" s="268">
        <v>62</v>
      </c>
      <c r="C777" s="268">
        <v>62</v>
      </c>
      <c r="D777" s="269">
        <f>C777-B777</f>
        <v>0</v>
      </c>
      <c r="E777" s="276">
        <f>C777/B777</f>
        <v>1</v>
      </c>
      <c r="F777" s="268"/>
      <c r="G777" s="268"/>
      <c r="H777" s="274"/>
      <c r="I777" s="268"/>
      <c r="J777" s="278"/>
      <c r="K777" s="41"/>
    </row>
    <row r="778" spans="1:11" s="5" customFormat="1" ht="51">
      <c r="A778" s="256" t="s">
        <v>276</v>
      </c>
      <c r="B778" s="268"/>
      <c r="C778" s="268"/>
      <c r="D778" s="269"/>
      <c r="E778" s="269"/>
      <c r="F778" s="268">
        <v>7462100</v>
      </c>
      <c r="G778" s="268">
        <v>7462100</v>
      </c>
      <c r="H778" s="268">
        <f>G778/F778</f>
        <v>1</v>
      </c>
      <c r="I778" s="268"/>
      <c r="J778" s="278"/>
      <c r="K778" s="41"/>
    </row>
    <row r="779" spans="1:11" s="5" customFormat="1" ht="12.75">
      <c r="A779" s="256" t="s">
        <v>772</v>
      </c>
      <c r="B779" s="273">
        <v>158430</v>
      </c>
      <c r="C779" s="273">
        <v>158430</v>
      </c>
      <c r="D779" s="269">
        <f>SUM(C779-B779)</f>
        <v>0</v>
      </c>
      <c r="E779" s="269">
        <f>SUM(C779/B779)</f>
        <v>1</v>
      </c>
      <c r="F779" s="268"/>
      <c r="G779" s="268"/>
      <c r="H779" s="268"/>
      <c r="I779" s="268"/>
      <c r="J779" s="278"/>
      <c r="K779" s="41"/>
    </row>
    <row r="780" spans="1:11" s="5" customFormat="1" ht="15.75" customHeight="1">
      <c r="A780" s="256" t="s">
        <v>773</v>
      </c>
      <c r="B780" s="273">
        <v>166351.5</v>
      </c>
      <c r="C780" s="273">
        <v>166351.5</v>
      </c>
      <c r="D780" s="269">
        <f>SUM(C780-B780)</f>
        <v>0</v>
      </c>
      <c r="E780" s="269">
        <f>SUM(C780/B780)</f>
        <v>1</v>
      </c>
      <c r="F780" s="268"/>
      <c r="G780" s="268"/>
      <c r="H780" s="268"/>
      <c r="I780" s="268"/>
      <c r="J780" s="278"/>
      <c r="K780" s="41"/>
    </row>
    <row r="781" spans="1:11" s="5" customFormat="1" ht="25.5">
      <c r="A781" s="256" t="s">
        <v>428</v>
      </c>
      <c r="B781" s="268"/>
      <c r="C781" s="268"/>
      <c r="D781" s="269"/>
      <c r="E781" s="269"/>
      <c r="F781" s="268">
        <v>5257639.1</v>
      </c>
      <c r="G781" s="268">
        <v>5257639.1</v>
      </c>
      <c r="H781" s="268">
        <f>G781/F781</f>
        <v>1</v>
      </c>
      <c r="I781" s="268"/>
      <c r="J781" s="278"/>
      <c r="K781" s="41"/>
    </row>
    <row r="782" spans="1:11" s="5" customFormat="1" ht="12.75">
      <c r="A782" s="209" t="s">
        <v>415</v>
      </c>
      <c r="B782" s="268">
        <v>464.17</v>
      </c>
      <c r="C782" s="268">
        <v>464.17</v>
      </c>
      <c r="D782" s="269">
        <f>C782-B782</f>
        <v>0</v>
      </c>
      <c r="E782" s="269">
        <f>C782/B782</f>
        <v>1</v>
      </c>
      <c r="F782" s="268"/>
      <c r="G782" s="268"/>
      <c r="H782" s="268"/>
      <c r="I782" s="268"/>
      <c r="J782" s="278"/>
      <c r="K782" s="41"/>
    </row>
    <row r="783" spans="1:11" s="5" customFormat="1" ht="12.75">
      <c r="A783" s="256" t="s">
        <v>429</v>
      </c>
      <c r="B783" s="268"/>
      <c r="C783" s="268"/>
      <c r="D783" s="269"/>
      <c r="E783" s="269"/>
      <c r="F783" s="268">
        <v>23688696.21</v>
      </c>
      <c r="G783" s="268">
        <v>23688696.21</v>
      </c>
      <c r="H783" s="268">
        <f>G783/F783</f>
        <v>1</v>
      </c>
      <c r="I783" s="277"/>
      <c r="J783" s="278"/>
      <c r="K783" s="41"/>
    </row>
    <row r="784" spans="1:11" s="5" customFormat="1" ht="25.5">
      <c r="A784" s="256" t="s">
        <v>425</v>
      </c>
      <c r="B784" s="262">
        <v>2.445</v>
      </c>
      <c r="C784" s="262">
        <v>2.445</v>
      </c>
      <c r="D784" s="269">
        <f>C784-B784</f>
        <v>0</v>
      </c>
      <c r="E784" s="276">
        <f>C784/B784</f>
        <v>1</v>
      </c>
      <c r="F784" s="268"/>
      <c r="G784" s="268"/>
      <c r="H784" s="268"/>
      <c r="I784" s="268"/>
      <c r="J784" s="278"/>
      <c r="K784" s="41"/>
    </row>
    <row r="785" spans="1:11" s="5" customFormat="1" ht="12.75">
      <c r="A785" s="659" t="s">
        <v>117</v>
      </c>
      <c r="B785" s="283">
        <f>B776+B777+B779+B780+B782+B784</f>
        <v>325372.115</v>
      </c>
      <c r="C785" s="283">
        <f>C776+C777+C779+C780+C782+C784</f>
        <v>325372.115</v>
      </c>
      <c r="D785" s="269">
        <f>C785-B785</f>
        <v>0</v>
      </c>
      <c r="E785" s="276">
        <f>C785/B785</f>
        <v>1</v>
      </c>
      <c r="F785" s="263">
        <f>SUM((F775:F784))</f>
        <v>36968135.31</v>
      </c>
      <c r="G785" s="263">
        <f>SUM((G775:G784))</f>
        <v>36968135.31</v>
      </c>
      <c r="H785" s="263">
        <f>G785/F785</f>
        <v>1</v>
      </c>
      <c r="I785" s="284">
        <f>E785/H785</f>
        <v>1</v>
      </c>
      <c r="J785" s="281"/>
      <c r="K785" s="41"/>
    </row>
    <row r="786" spans="1:11" s="5" customFormat="1" ht="15.75" customHeight="1">
      <c r="A786" s="824" t="s">
        <v>419</v>
      </c>
      <c r="B786" s="826"/>
      <c r="C786" s="826"/>
      <c r="D786" s="826"/>
      <c r="E786" s="826"/>
      <c r="F786" s="826"/>
      <c r="G786" s="826"/>
      <c r="H786" s="826"/>
      <c r="I786" s="826"/>
      <c r="J786" s="826"/>
      <c r="K786" s="41"/>
    </row>
    <row r="787" spans="1:11" s="5" customFormat="1" ht="89.25">
      <c r="A787" s="256" t="s">
        <v>329</v>
      </c>
      <c r="B787" s="268"/>
      <c r="C787" s="268"/>
      <c r="D787" s="269"/>
      <c r="E787" s="269"/>
      <c r="F787" s="268">
        <v>11400403.79</v>
      </c>
      <c r="G787" s="268">
        <v>11400403.79</v>
      </c>
      <c r="H787" s="268">
        <f>G787/F787</f>
        <v>1</v>
      </c>
      <c r="I787" s="274">
        <f>E787/H787</f>
        <v>0</v>
      </c>
      <c r="J787" s="278"/>
      <c r="K787" s="41"/>
    </row>
    <row r="788" spans="1:11" s="5" customFormat="1" ht="25.5">
      <c r="A788" s="285" t="s">
        <v>642</v>
      </c>
      <c r="B788" s="268">
        <v>1.5</v>
      </c>
      <c r="C788" s="268">
        <v>1.5</v>
      </c>
      <c r="D788" s="269">
        <f>C788-B788</f>
        <v>0</v>
      </c>
      <c r="E788" s="269">
        <f>C788/B788</f>
        <v>1</v>
      </c>
      <c r="F788" s="268"/>
      <c r="G788" s="268"/>
      <c r="H788" s="268"/>
      <c r="I788" s="268">
        <f>E788/H787</f>
        <v>1</v>
      </c>
      <c r="J788" s="282"/>
      <c r="K788" s="41"/>
    </row>
    <row r="789" spans="1:11" s="5" customFormat="1" ht="12.75">
      <c r="A789" s="260" t="s">
        <v>88</v>
      </c>
      <c r="B789" s="263">
        <f>B788</f>
        <v>1.5</v>
      </c>
      <c r="C789" s="263">
        <f>C788</f>
        <v>1.5</v>
      </c>
      <c r="D789" s="279">
        <f>C789-B789</f>
        <v>0</v>
      </c>
      <c r="E789" s="279">
        <f>C789/B789</f>
        <v>1</v>
      </c>
      <c r="F789" s="263">
        <f>SUM(F787:F788)</f>
        <v>11400403.79</v>
      </c>
      <c r="G789" s="263">
        <f>SUM(G787:G788)</f>
        <v>11400403.79</v>
      </c>
      <c r="H789" s="280">
        <f>G789/F789</f>
        <v>1</v>
      </c>
      <c r="I789" s="280">
        <f>E789/H789</f>
        <v>1</v>
      </c>
      <c r="J789" s="275"/>
      <c r="K789" s="41"/>
    </row>
    <row r="790" spans="1:11" s="5" customFormat="1" ht="15.75" customHeight="1">
      <c r="A790" s="438" t="s">
        <v>295</v>
      </c>
      <c r="B790" s="636">
        <f>B785+B789</f>
        <v>325373.615</v>
      </c>
      <c r="C790" s="636">
        <f>C785+C789</f>
        <v>325373.615</v>
      </c>
      <c r="D790" s="439">
        <f>C790-B790</f>
        <v>0</v>
      </c>
      <c r="E790" s="439">
        <f>C790/B790</f>
        <v>1</v>
      </c>
      <c r="F790" s="635">
        <f>F785+F789</f>
        <v>48368539.1</v>
      </c>
      <c r="G790" s="635">
        <f>G785+G789</f>
        <v>48368539.1</v>
      </c>
      <c r="H790" s="440">
        <f>G790/F790</f>
        <v>1</v>
      </c>
      <c r="I790" s="441">
        <f>E790/H790</f>
        <v>1</v>
      </c>
      <c r="J790" s="442"/>
      <c r="K790" s="41"/>
    </row>
    <row r="791" spans="1:11" s="5" customFormat="1" ht="12.75">
      <c r="A791" s="828" t="s">
        <v>412</v>
      </c>
      <c r="B791" s="829"/>
      <c r="C791" s="829"/>
      <c r="D791" s="829"/>
      <c r="E791" s="829"/>
      <c r="F791" s="829"/>
      <c r="G791" s="829"/>
      <c r="H791" s="829"/>
      <c r="I791" s="829"/>
      <c r="J791" s="829"/>
      <c r="K791" s="41"/>
    </row>
    <row r="792" spans="1:11" s="5" customFormat="1" ht="25.5" customHeight="1">
      <c r="A792" s="827" t="s">
        <v>737</v>
      </c>
      <c r="B792" s="827"/>
      <c r="C792" s="827"/>
      <c r="D792" s="827"/>
      <c r="E792" s="827"/>
      <c r="F792" s="827"/>
      <c r="G792" s="827"/>
      <c r="H792" s="827"/>
      <c r="I792" s="827"/>
      <c r="J792" s="827"/>
      <c r="K792" s="41"/>
    </row>
    <row r="793" spans="1:11" s="5" customFormat="1" ht="51">
      <c r="A793" s="716" t="s">
        <v>768</v>
      </c>
      <c r="B793" s="113">
        <v>100</v>
      </c>
      <c r="C793" s="113">
        <v>100</v>
      </c>
      <c r="D793" s="113">
        <f>C793-B793</f>
        <v>0</v>
      </c>
      <c r="E793" s="479">
        <f>C793/B793</f>
        <v>1</v>
      </c>
      <c r="F793" s="21"/>
      <c r="G793" s="21"/>
      <c r="H793" s="21"/>
      <c r="I793" s="21"/>
      <c r="J793" s="21"/>
      <c r="K793" s="41"/>
    </row>
    <row r="794" spans="1:11" s="5" customFormat="1" ht="25.5">
      <c r="A794" s="716" t="s">
        <v>738</v>
      </c>
      <c r="B794" s="286"/>
      <c r="C794" s="286"/>
      <c r="D794" s="286"/>
      <c r="E794" s="288"/>
      <c r="F794" s="300">
        <v>4534780</v>
      </c>
      <c r="G794" s="300">
        <v>4534777</v>
      </c>
      <c r="H794" s="300">
        <f>G794/F794</f>
        <v>0.9999993384464075</v>
      </c>
      <c r="I794" s="21"/>
      <c r="J794" s="21"/>
      <c r="K794" s="41"/>
    </row>
    <row r="795" spans="1:11" s="5" customFormat="1" ht="12.75">
      <c r="A795" s="414" t="s">
        <v>40</v>
      </c>
      <c r="B795" s="443">
        <f>B793</f>
        <v>100</v>
      </c>
      <c r="C795" s="443">
        <f>C793</f>
        <v>100</v>
      </c>
      <c r="D795" s="443">
        <f>C795-B795</f>
        <v>0</v>
      </c>
      <c r="E795" s="444">
        <f>C795/B795</f>
        <v>1</v>
      </c>
      <c r="F795" s="444">
        <f>F794</f>
        <v>4534780</v>
      </c>
      <c r="G795" s="444">
        <f>G794</f>
        <v>4534777</v>
      </c>
      <c r="H795" s="444">
        <f>G795/F795</f>
        <v>0.9999993384464075</v>
      </c>
      <c r="I795" s="445">
        <f>E795/H795</f>
        <v>1.0000006615540302</v>
      </c>
      <c r="J795" s="446"/>
      <c r="K795" s="41"/>
    </row>
    <row r="796" spans="1:11" s="5" customFormat="1" ht="22.5" customHeight="1">
      <c r="A796" s="830" t="s">
        <v>413</v>
      </c>
      <c r="B796" s="830"/>
      <c r="C796" s="830"/>
      <c r="D796" s="830"/>
      <c r="E796" s="830"/>
      <c r="F796" s="830"/>
      <c r="G796" s="830"/>
      <c r="H796" s="830"/>
      <c r="I796" s="830"/>
      <c r="J796" s="830"/>
      <c r="K796" s="41"/>
    </row>
    <row r="797" spans="1:11" s="5" customFormat="1" ht="76.5">
      <c r="A797" s="21" t="s">
        <v>160</v>
      </c>
      <c r="B797" s="8"/>
      <c r="C797" s="8"/>
      <c r="D797" s="8"/>
      <c r="E797" s="15"/>
      <c r="F797" s="124">
        <v>9139483.72</v>
      </c>
      <c r="G797" s="124">
        <v>9139402.29</v>
      </c>
      <c r="H797" s="124">
        <f>G797/F797</f>
        <v>0.9999910903063569</v>
      </c>
      <c r="I797" s="125"/>
      <c r="J797" s="118" t="s">
        <v>150</v>
      </c>
      <c r="K797" s="41"/>
    </row>
    <row r="798" spans="1:11" s="5" customFormat="1" ht="25.5">
      <c r="A798" s="532" t="s">
        <v>161</v>
      </c>
      <c r="B798" s="8"/>
      <c r="C798" s="8"/>
      <c r="D798" s="8"/>
      <c r="E798" s="15"/>
      <c r="F798" s="124">
        <v>9001799.94</v>
      </c>
      <c r="G798" s="124">
        <v>9001799.94</v>
      </c>
      <c r="H798" s="124">
        <f>G798/F798</f>
        <v>1</v>
      </c>
      <c r="I798" s="125"/>
      <c r="J798" s="67"/>
      <c r="K798" s="41"/>
    </row>
    <row r="799" spans="1:11" s="5" customFormat="1" ht="84">
      <c r="A799" s="533" t="s">
        <v>155</v>
      </c>
      <c r="B799" s="8"/>
      <c r="C799" s="8"/>
      <c r="D799" s="8"/>
      <c r="E799" s="15"/>
      <c r="F799" s="124">
        <v>570216.34</v>
      </c>
      <c r="G799" s="124">
        <v>569835.11</v>
      </c>
      <c r="H799" s="124">
        <f>G799/F799</f>
        <v>0.999331429190542</v>
      </c>
      <c r="I799" s="125"/>
      <c r="J799" s="118" t="s">
        <v>162</v>
      </c>
      <c r="K799" s="41"/>
    </row>
    <row r="800" spans="1:11" s="5" customFormat="1" ht="25.5">
      <c r="A800" s="357" t="s">
        <v>163</v>
      </c>
      <c r="B800" s="8">
        <v>2</v>
      </c>
      <c r="C800" s="8">
        <v>2</v>
      </c>
      <c r="D800" s="8">
        <f>C800-B800</f>
        <v>0</v>
      </c>
      <c r="E800" s="15">
        <f>C800/B800</f>
        <v>1</v>
      </c>
      <c r="F800" s="124"/>
      <c r="G800" s="124"/>
      <c r="H800" s="124"/>
      <c r="I800" s="125"/>
      <c r="J800" s="67"/>
      <c r="K800" s="41"/>
    </row>
    <row r="801" spans="1:11" s="5" customFormat="1" ht="28.5" customHeight="1">
      <c r="A801" s="209" t="s">
        <v>164</v>
      </c>
      <c r="B801" s="8">
        <v>37.5</v>
      </c>
      <c r="C801" s="8">
        <v>37.5</v>
      </c>
      <c r="D801" s="8">
        <f>C801-B801</f>
        <v>0</v>
      </c>
      <c r="E801" s="15">
        <f>C801/B801</f>
        <v>1</v>
      </c>
      <c r="F801" s="124"/>
      <c r="G801" s="124"/>
      <c r="H801" s="124"/>
      <c r="I801" s="125"/>
      <c r="J801" s="67"/>
      <c r="K801" s="41"/>
    </row>
    <row r="802" spans="1:11" s="5" customFormat="1" ht="12.75">
      <c r="A802" s="447" t="s">
        <v>114</v>
      </c>
      <c r="B802" s="447">
        <f>SUM(B797:B797)</f>
        <v>0</v>
      </c>
      <c r="C802" s="447">
        <f>SUM(C797:C797)</f>
        <v>0</v>
      </c>
      <c r="D802" s="447">
        <f>C802-B802</f>
        <v>0</v>
      </c>
      <c r="E802" s="447">
        <f>(E800+E801)/2</f>
        <v>1</v>
      </c>
      <c r="F802" s="390">
        <f>SUM(F797:F799)</f>
        <v>18711500</v>
      </c>
      <c r="G802" s="390">
        <f>SUM(G797:G799)</f>
        <v>18711037.339999996</v>
      </c>
      <c r="H802" s="391">
        <f>G802/F802</f>
        <v>0.99997527402934</v>
      </c>
      <c r="I802" s="391">
        <f>E802/H802</f>
        <v>1.0000247265820488</v>
      </c>
      <c r="J802" s="448"/>
      <c r="K802" s="41"/>
    </row>
    <row r="803" spans="1:11" s="5" customFormat="1" ht="12.75">
      <c r="A803" s="789" t="s">
        <v>494</v>
      </c>
      <c r="B803" s="789"/>
      <c r="C803" s="789"/>
      <c r="D803" s="789"/>
      <c r="E803" s="789"/>
      <c r="F803" s="789"/>
      <c r="G803" s="789"/>
      <c r="H803" s="789"/>
      <c r="I803" s="789"/>
      <c r="J803" s="449"/>
      <c r="K803" s="41"/>
    </row>
    <row r="804" spans="1:11" s="5" customFormat="1" ht="54.75" customHeight="1">
      <c r="A804" s="259" t="s">
        <v>792</v>
      </c>
      <c r="B804" s="518"/>
      <c r="C804" s="518"/>
      <c r="D804" s="518"/>
      <c r="E804" s="518"/>
      <c r="F804" s="579">
        <v>6631000</v>
      </c>
      <c r="G804" s="579">
        <v>6631000</v>
      </c>
      <c r="H804" s="580">
        <f>G804/F804</f>
        <v>1</v>
      </c>
      <c r="I804" s="518"/>
      <c r="J804" s="578"/>
      <c r="K804" s="41"/>
    </row>
    <row r="805" spans="1:11" s="5" customFormat="1" ht="63.75">
      <c r="A805" s="338" t="s">
        <v>36</v>
      </c>
      <c r="B805" s="216"/>
      <c r="C805" s="216"/>
      <c r="D805" s="216"/>
      <c r="E805" s="216"/>
      <c r="F805" s="581">
        <v>2964000</v>
      </c>
      <c r="G805" s="581">
        <v>2964000</v>
      </c>
      <c r="H805" s="582">
        <f>SUM(G805/F805)</f>
        <v>1</v>
      </c>
      <c r="I805" s="334"/>
      <c r="J805" s="217"/>
      <c r="K805" s="41"/>
    </row>
    <row r="806" spans="1:11" s="5" customFormat="1" ht="51">
      <c r="A806" s="213" t="s">
        <v>797</v>
      </c>
      <c r="B806" s="211">
        <v>1</v>
      </c>
      <c r="C806" s="211">
        <v>1</v>
      </c>
      <c r="D806" s="211">
        <f>C806-B806</f>
        <v>0</v>
      </c>
      <c r="E806" s="211">
        <v>1</v>
      </c>
      <c r="F806" s="218"/>
      <c r="G806" s="219"/>
      <c r="H806" s="219"/>
      <c r="I806" s="219"/>
      <c r="J806" s="46"/>
      <c r="K806" s="41"/>
    </row>
    <row r="807" spans="1:11" s="5" customFormat="1" ht="12.75">
      <c r="A807" s="438" t="s">
        <v>158</v>
      </c>
      <c r="B807" s="447">
        <f>SUM(B805:B806)</f>
        <v>1</v>
      </c>
      <c r="C807" s="447">
        <f>SUM(C805:C806)</f>
        <v>1</v>
      </c>
      <c r="D807" s="447">
        <f>C807-B807</f>
        <v>0</v>
      </c>
      <c r="E807" s="450">
        <f>SUM(E805:E806)</f>
        <v>1</v>
      </c>
      <c r="F807" s="390">
        <f>SUM(F804:F805)</f>
        <v>9595000</v>
      </c>
      <c r="G807" s="390">
        <f>SUM(G804:G805)</f>
        <v>9595000</v>
      </c>
      <c r="H807" s="391">
        <f>(H804+H805)/2</f>
        <v>1</v>
      </c>
      <c r="I807" s="389">
        <f>E807/H807</f>
        <v>1</v>
      </c>
      <c r="J807" s="451"/>
      <c r="K807" s="41"/>
    </row>
    <row r="808" spans="1:11" s="5" customFormat="1" ht="12.75">
      <c r="A808" s="823" t="s">
        <v>228</v>
      </c>
      <c r="B808" s="823"/>
      <c r="C808" s="823"/>
      <c r="D808" s="823"/>
      <c r="E808" s="823"/>
      <c r="F808" s="823"/>
      <c r="G808" s="823"/>
      <c r="H808" s="823"/>
      <c r="I808" s="823"/>
      <c r="J808" s="823"/>
      <c r="K808" s="41"/>
    </row>
    <row r="809" spans="1:11" s="5" customFormat="1" ht="44.25" customHeight="1">
      <c r="A809" s="209" t="s">
        <v>315</v>
      </c>
      <c r="B809" s="200"/>
      <c r="C809" s="200"/>
      <c r="D809" s="203"/>
      <c r="E809" s="201"/>
      <c r="F809" s="312">
        <v>316582.33</v>
      </c>
      <c r="G809" s="312">
        <v>316582.33</v>
      </c>
      <c r="H809" s="201">
        <f aca="true" t="shared" si="43" ref="H809:H815">G809/F809</f>
        <v>1</v>
      </c>
      <c r="I809" s="201"/>
      <c r="J809" s="49"/>
      <c r="K809" s="41"/>
    </row>
    <row r="810" spans="1:11" s="5" customFormat="1" ht="51">
      <c r="A810" s="209" t="s">
        <v>316</v>
      </c>
      <c r="B810" s="200"/>
      <c r="C810" s="200"/>
      <c r="D810" s="203"/>
      <c r="E810" s="201"/>
      <c r="F810" s="312">
        <v>237299.6</v>
      </c>
      <c r="G810" s="312">
        <v>237299.6</v>
      </c>
      <c r="H810" s="201">
        <f t="shared" si="43"/>
        <v>1</v>
      </c>
      <c r="I810" s="201"/>
      <c r="J810" s="49"/>
      <c r="K810" s="41"/>
    </row>
    <row r="811" spans="1:11" s="5" customFormat="1" ht="51">
      <c r="A811" s="209" t="s">
        <v>317</v>
      </c>
      <c r="B811" s="200"/>
      <c r="C811" s="200"/>
      <c r="D811" s="203"/>
      <c r="E811" s="201"/>
      <c r="F811" s="312">
        <v>38872.38</v>
      </c>
      <c r="G811" s="312">
        <v>38872.38</v>
      </c>
      <c r="H811" s="201">
        <f t="shared" si="43"/>
        <v>1</v>
      </c>
      <c r="I811" s="201"/>
      <c r="J811" s="49"/>
      <c r="K811" s="41"/>
    </row>
    <row r="812" spans="1:11" s="5" customFormat="1" ht="51">
      <c r="A812" s="209" t="s">
        <v>318</v>
      </c>
      <c r="B812" s="200"/>
      <c r="C812" s="200"/>
      <c r="D812" s="203"/>
      <c r="E812" s="201"/>
      <c r="F812" s="312">
        <v>299799.29</v>
      </c>
      <c r="G812" s="312">
        <v>299799.29</v>
      </c>
      <c r="H812" s="201">
        <f t="shared" si="43"/>
        <v>1</v>
      </c>
      <c r="I812" s="201"/>
      <c r="J812" s="49"/>
      <c r="K812" s="41"/>
    </row>
    <row r="813" spans="1:11" s="5" customFormat="1" ht="51">
      <c r="A813" s="209" t="s">
        <v>319</v>
      </c>
      <c r="B813" s="200"/>
      <c r="C813" s="200"/>
      <c r="D813" s="203"/>
      <c r="E813" s="201"/>
      <c r="F813" s="312">
        <v>253394.14</v>
      </c>
      <c r="G813" s="312">
        <v>253394.14</v>
      </c>
      <c r="H813" s="201">
        <f t="shared" si="43"/>
        <v>1</v>
      </c>
      <c r="I813" s="201"/>
      <c r="J813" s="49"/>
      <c r="K813" s="41"/>
    </row>
    <row r="814" spans="1:11" s="5" customFormat="1" ht="51">
      <c r="A814" s="209" t="s">
        <v>320</v>
      </c>
      <c r="B814" s="200"/>
      <c r="C814" s="200"/>
      <c r="D814" s="203"/>
      <c r="E814" s="201"/>
      <c r="F814" s="312">
        <v>886879.5</v>
      </c>
      <c r="G814" s="312">
        <v>886879.5</v>
      </c>
      <c r="H814" s="201">
        <f t="shared" si="43"/>
        <v>1</v>
      </c>
      <c r="I814" s="201"/>
      <c r="J814" s="49"/>
      <c r="K814" s="41"/>
    </row>
    <row r="815" spans="1:11" s="5" customFormat="1" ht="51">
      <c r="A815" s="209" t="s">
        <v>321</v>
      </c>
      <c r="B815" s="200"/>
      <c r="C815" s="200"/>
      <c r="D815" s="203"/>
      <c r="E815" s="201"/>
      <c r="F815" s="312">
        <v>292172.76</v>
      </c>
      <c r="G815" s="312">
        <v>292172.76</v>
      </c>
      <c r="H815" s="201">
        <f t="shared" si="43"/>
        <v>1</v>
      </c>
      <c r="I815" s="201"/>
      <c r="J815" s="49"/>
      <c r="K815" s="41"/>
    </row>
    <row r="816" spans="1:11" s="5" customFormat="1" ht="25.5">
      <c r="A816" s="240" t="s">
        <v>28</v>
      </c>
      <c r="B816" s="202">
        <v>0.22</v>
      </c>
      <c r="C816" s="347">
        <v>0.212</v>
      </c>
      <c r="D816" s="351">
        <f>C816-B816</f>
        <v>-0.008000000000000007</v>
      </c>
      <c r="E816" s="352">
        <f>B816/C816</f>
        <v>1.0377358490566038</v>
      </c>
      <c r="F816" s="204"/>
      <c r="G816" s="204"/>
      <c r="H816" s="201"/>
      <c r="I816" s="201"/>
      <c r="J816" s="49"/>
      <c r="K816" s="41"/>
    </row>
    <row r="817" spans="1:11" s="5" customFormat="1" ht="38.25">
      <c r="A817" s="240" t="s">
        <v>29</v>
      </c>
      <c r="B817" s="347">
        <v>1.232</v>
      </c>
      <c r="C817" s="347">
        <v>1.328</v>
      </c>
      <c r="D817" s="351">
        <f>C817-B817</f>
        <v>0.09600000000000009</v>
      </c>
      <c r="E817" s="352">
        <f>B817/C817</f>
        <v>0.927710843373494</v>
      </c>
      <c r="F817" s="204"/>
      <c r="G817" s="204"/>
      <c r="H817" s="201"/>
      <c r="I817" s="201"/>
      <c r="J817" s="49"/>
      <c r="K817" s="41"/>
    </row>
    <row r="818" spans="1:11" s="5" customFormat="1" ht="63.75">
      <c r="A818" s="240" t="s">
        <v>30</v>
      </c>
      <c r="B818" s="353">
        <v>90</v>
      </c>
      <c r="C818" s="752">
        <v>89.4</v>
      </c>
      <c r="D818" s="351">
        <f>C818-B818</f>
        <v>-0.5999999999999943</v>
      </c>
      <c r="E818" s="352">
        <f>C818/B818</f>
        <v>0.9933333333333334</v>
      </c>
      <c r="F818" s="204"/>
      <c r="G818" s="204"/>
      <c r="H818" s="201"/>
      <c r="I818" s="201"/>
      <c r="J818" s="49"/>
      <c r="K818" s="41"/>
    </row>
    <row r="819" spans="1:11" s="5" customFormat="1" ht="51">
      <c r="A819" s="240" t="s">
        <v>18</v>
      </c>
      <c r="B819" s="353">
        <v>100</v>
      </c>
      <c r="C819" s="752">
        <v>100</v>
      </c>
      <c r="D819" s="351">
        <f>C819-B819</f>
        <v>0</v>
      </c>
      <c r="E819" s="352">
        <f>C819/B819</f>
        <v>1</v>
      </c>
      <c r="F819" s="204"/>
      <c r="G819" s="204"/>
      <c r="H819" s="201"/>
      <c r="I819" s="201"/>
      <c r="J819" s="49"/>
      <c r="K819" s="41"/>
    </row>
    <row r="820" spans="1:11" s="5" customFormat="1" ht="12.75">
      <c r="A820" s="595" t="s">
        <v>229</v>
      </c>
      <c r="B820" s="439">
        <f>SUM(B816:B819)</f>
        <v>191.452</v>
      </c>
      <c r="C820" s="439">
        <f>SUM(C816:C819)</f>
        <v>190.94</v>
      </c>
      <c r="D820" s="453">
        <f>C820-B820</f>
        <v>-0.5120000000000005</v>
      </c>
      <c r="E820" s="453">
        <f>(E816+E817+E818+E819)/4</f>
        <v>0.9896950064408578</v>
      </c>
      <c r="F820" s="439">
        <f>SUM(F809:F815)</f>
        <v>2325000</v>
      </c>
      <c r="G820" s="439">
        <f>SUM(G809:G815)</f>
        <v>2325000</v>
      </c>
      <c r="H820" s="480">
        <f>SUM(H809:H815)/7</f>
        <v>1</v>
      </c>
      <c r="I820" s="480">
        <f>E820/H820</f>
        <v>0.9896950064408578</v>
      </c>
      <c r="J820" s="454"/>
      <c r="K820" s="452"/>
    </row>
    <row r="821" spans="1:11" s="5" customFormat="1" ht="12.75">
      <c r="A821" s="817" t="s">
        <v>741</v>
      </c>
      <c r="B821" s="817"/>
      <c r="C821" s="817"/>
      <c r="D821" s="817"/>
      <c r="E821" s="817"/>
      <c r="F821" s="817"/>
      <c r="G821" s="817"/>
      <c r="H821" s="817"/>
      <c r="I821" s="817"/>
      <c r="J821" s="817"/>
      <c r="K821" s="41"/>
    </row>
    <row r="822" spans="1:11" s="5" customFormat="1" ht="132.75" customHeight="1">
      <c r="A822" s="111" t="s">
        <v>716</v>
      </c>
      <c r="B822" s="102"/>
      <c r="C822" s="102"/>
      <c r="D822" s="103"/>
      <c r="E822" s="314"/>
      <c r="F822" s="110">
        <v>33351149</v>
      </c>
      <c r="G822" s="106">
        <v>0</v>
      </c>
      <c r="H822" s="589">
        <f>G822/F822</f>
        <v>0</v>
      </c>
      <c r="I822" s="590"/>
      <c r="J822" s="111" t="s">
        <v>717</v>
      </c>
      <c r="K822" s="41"/>
    </row>
    <row r="823" spans="1:11" s="5" customFormat="1" ht="324.75" customHeight="1">
      <c r="A823" s="259" t="s">
        <v>547</v>
      </c>
      <c r="B823" s="102"/>
      <c r="C823" s="102"/>
      <c r="D823" s="103"/>
      <c r="E823" s="314"/>
      <c r="F823" s="591">
        <v>109648851</v>
      </c>
      <c r="G823" s="592">
        <v>96272770</v>
      </c>
      <c r="H823" s="589">
        <f>G823/F823</f>
        <v>0.8780098388810295</v>
      </c>
      <c r="I823" s="594"/>
      <c r="J823" s="598" t="s">
        <v>750</v>
      </c>
      <c r="K823" s="41"/>
    </row>
    <row r="824" spans="1:11" s="5" customFormat="1" ht="12.75">
      <c r="A824" s="259" t="s">
        <v>189</v>
      </c>
      <c r="B824" s="102">
        <v>550</v>
      </c>
      <c r="C824" s="102">
        <v>435</v>
      </c>
      <c r="D824" s="103">
        <f>C824-B824</f>
        <v>-115</v>
      </c>
      <c r="E824" s="314">
        <f>B824/C824</f>
        <v>1.264367816091954</v>
      </c>
      <c r="F824" s="591"/>
      <c r="G824" s="592"/>
      <c r="H824" s="593"/>
      <c r="I824" s="594"/>
      <c r="J824" s="259"/>
      <c r="K824" s="41"/>
    </row>
    <row r="825" spans="1:11" s="5" customFormat="1" ht="12.75">
      <c r="A825" s="379" t="s">
        <v>742</v>
      </c>
      <c r="B825" s="379">
        <f>B824</f>
        <v>550</v>
      </c>
      <c r="C825" s="379">
        <f>C824</f>
        <v>435</v>
      </c>
      <c r="D825" s="379">
        <f>C825-B825</f>
        <v>-115</v>
      </c>
      <c r="E825" s="596">
        <f>B825/C825</f>
        <v>1.264367816091954</v>
      </c>
      <c r="F825" s="385">
        <f>F822+F823</f>
        <v>143000000</v>
      </c>
      <c r="G825" s="385">
        <f>G822+G823</f>
        <v>96272770</v>
      </c>
      <c r="H825" s="383">
        <f>(H822+H823)/2</f>
        <v>0.43900491944051473</v>
      </c>
      <c r="I825" s="383">
        <f>E825/H825</f>
        <v>2.8800766463011724</v>
      </c>
      <c r="J825" s="386"/>
      <c r="K825" s="41"/>
    </row>
    <row r="826" spans="1:11" s="5" customFormat="1" ht="25.5">
      <c r="A826" s="24" t="s">
        <v>392</v>
      </c>
      <c r="B826" s="455"/>
      <c r="C826" s="455"/>
      <c r="D826" s="456"/>
      <c r="E826" s="457"/>
      <c r="F826" s="35"/>
      <c r="G826" s="124">
        <f>G827/G828</f>
        <v>0.5007168445273062</v>
      </c>
      <c r="H826" s="11"/>
      <c r="I826" s="11"/>
      <c r="J826" s="49"/>
      <c r="K826" s="41"/>
    </row>
    <row r="827" spans="1:11" s="5" customFormat="1" ht="14.25" customHeight="1">
      <c r="A827" s="489" t="s">
        <v>109</v>
      </c>
      <c r="B827" s="490"/>
      <c r="C827" s="490"/>
      <c r="D827" s="490"/>
      <c r="E827" s="491"/>
      <c r="F827" s="759">
        <f>F608+F627+F680+F717+F772+F790+F795+F802+F807+F820+F825</f>
        <v>1756090180.75</v>
      </c>
      <c r="G827" s="759">
        <f>G608+G627+G680+G717+G772+G790+G795+G802+G807+G820+G825</f>
        <v>1702785077.6599998</v>
      </c>
      <c r="H827" s="660">
        <f>G827/F827</f>
        <v>0.9696455776165013</v>
      </c>
      <c r="I827" s="660">
        <f>(I608+I627+I680+I717+I772+I790+I795+I802+I807+I820+I825)/11</f>
        <v>1.1601386420616222</v>
      </c>
      <c r="J827" s="491"/>
      <c r="K827" s="41"/>
    </row>
    <row r="828" spans="1:11" s="5" customFormat="1" ht="15.75">
      <c r="A828" s="498" t="s">
        <v>110</v>
      </c>
      <c r="B828" s="490"/>
      <c r="C828" s="490"/>
      <c r="D828" s="490"/>
      <c r="E828" s="491"/>
      <c r="F828" s="760">
        <f>F592+F827</f>
        <v>3595307715.1400003</v>
      </c>
      <c r="G828" s="760">
        <f>G592+G827</f>
        <v>3400694616.67</v>
      </c>
      <c r="H828" s="492">
        <f>G828/F828</f>
        <v>0.9458702525932687</v>
      </c>
      <c r="I828" s="660">
        <v>1.15</v>
      </c>
      <c r="J828" s="493"/>
      <c r="K828" s="41"/>
    </row>
    <row r="829" spans="1:11" s="5" customFormat="1" ht="12.75">
      <c r="A829"/>
      <c r="B829"/>
      <c r="C829"/>
      <c r="D829"/>
      <c r="E829"/>
      <c r="F829"/>
      <c r="G829"/>
      <c r="H829"/>
      <c r="I829"/>
      <c r="J829"/>
      <c r="K829" s="41"/>
    </row>
    <row r="830" ht="12.75">
      <c r="K830" s="41"/>
    </row>
  </sheetData>
  <mergeCells count="136">
    <mergeCell ref="A601:J601"/>
    <mergeCell ref="A510:J510"/>
    <mergeCell ref="A514:J514"/>
    <mergeCell ref="A99:J99"/>
    <mergeCell ref="A582:J582"/>
    <mergeCell ref="A575:J575"/>
    <mergeCell ref="A569:J569"/>
    <mergeCell ref="A579:J579"/>
    <mergeCell ref="A492:J492"/>
    <mergeCell ref="A548:J548"/>
    <mergeCell ref="A769:J769"/>
    <mergeCell ref="A288:J288"/>
    <mergeCell ref="A695:J695"/>
    <mergeCell ref="A710:J710"/>
    <mergeCell ref="A718:J718"/>
    <mergeCell ref="A594:J594"/>
    <mergeCell ref="A595:J595"/>
    <mergeCell ref="A596:J596"/>
    <mergeCell ref="A576:J576"/>
    <mergeCell ref="A588:J588"/>
    <mergeCell ref="A556:J556"/>
    <mergeCell ref="A493:J493"/>
    <mergeCell ref="A498:J498"/>
    <mergeCell ref="A519:J519"/>
    <mergeCell ref="A543:J543"/>
    <mergeCell ref="A774:J774"/>
    <mergeCell ref="A786:J786"/>
    <mergeCell ref="A821:J821"/>
    <mergeCell ref="A792:J792"/>
    <mergeCell ref="A791:J791"/>
    <mergeCell ref="A796:J796"/>
    <mergeCell ref="A803:I803"/>
    <mergeCell ref="A808:J808"/>
    <mergeCell ref="A402:J402"/>
    <mergeCell ref="A411:J411"/>
    <mergeCell ref="A412:I412"/>
    <mergeCell ref="A451:J451"/>
    <mergeCell ref="A396:J396"/>
    <mergeCell ref="A332:J332"/>
    <mergeCell ref="A354:J354"/>
    <mergeCell ref="A359:J359"/>
    <mergeCell ref="A364:J364"/>
    <mergeCell ref="A371:J371"/>
    <mergeCell ref="A372:J372"/>
    <mergeCell ref="A382:J382"/>
    <mergeCell ref="A333:J333"/>
    <mergeCell ref="A210:J210"/>
    <mergeCell ref="F174:F175"/>
    <mergeCell ref="G174:G175"/>
    <mergeCell ref="H174:H175"/>
    <mergeCell ref="I174:I175"/>
    <mergeCell ref="B174:B175"/>
    <mergeCell ref="C174:C175"/>
    <mergeCell ref="E174:E175"/>
    <mergeCell ref="D174:D175"/>
    <mergeCell ref="A278:J278"/>
    <mergeCell ref="A324:J324"/>
    <mergeCell ref="A279:J279"/>
    <mergeCell ref="A301:J301"/>
    <mergeCell ref="E172:E173"/>
    <mergeCell ref="I172:I173"/>
    <mergeCell ref="F172:F173"/>
    <mergeCell ref="G172:G173"/>
    <mergeCell ref="H172:H173"/>
    <mergeCell ref="F161:F162"/>
    <mergeCell ref="J172:J173"/>
    <mergeCell ref="J174:J175"/>
    <mergeCell ref="A179:J179"/>
    <mergeCell ref="I163:I164"/>
    <mergeCell ref="J163:J164"/>
    <mergeCell ref="A167:J167"/>
    <mergeCell ref="B172:B173"/>
    <mergeCell ref="C172:C173"/>
    <mergeCell ref="D172:D173"/>
    <mergeCell ref="A19:J19"/>
    <mergeCell ref="A67:J67"/>
    <mergeCell ref="B163:B164"/>
    <mergeCell ref="C163:C164"/>
    <mergeCell ref="D163:D164"/>
    <mergeCell ref="E163:E164"/>
    <mergeCell ref="F163:F164"/>
    <mergeCell ref="G163:G164"/>
    <mergeCell ref="H163:H164"/>
    <mergeCell ref="E161:E162"/>
    <mergeCell ref="A35:J35"/>
    <mergeCell ref="A82:J82"/>
    <mergeCell ref="A40:J40"/>
    <mergeCell ref="A34:J34"/>
    <mergeCell ref="A51:J51"/>
    <mergeCell ref="A62:J62"/>
    <mergeCell ref="A41:J41"/>
    <mergeCell ref="A46:J46"/>
    <mergeCell ref="A52:J52"/>
    <mergeCell ref="A57:J57"/>
    <mergeCell ref="I3:I4"/>
    <mergeCell ref="J3:J4"/>
    <mergeCell ref="A6:J6"/>
    <mergeCell ref="A7:J7"/>
    <mergeCell ref="B161:B162"/>
    <mergeCell ref="C161:C162"/>
    <mergeCell ref="A98:J98"/>
    <mergeCell ref="A1:J1"/>
    <mergeCell ref="A2:J2"/>
    <mergeCell ref="A3:A4"/>
    <mergeCell ref="B3:D3"/>
    <mergeCell ref="E3:E4"/>
    <mergeCell ref="F3:G3"/>
    <mergeCell ref="H3:H4"/>
    <mergeCell ref="A140:J140"/>
    <mergeCell ref="A147:J147"/>
    <mergeCell ref="A156:J156"/>
    <mergeCell ref="A157:J157"/>
    <mergeCell ref="A27:J27"/>
    <mergeCell ref="A773:J773"/>
    <mergeCell ref="A682:J682"/>
    <mergeCell ref="A609:J609"/>
    <mergeCell ref="A610:J610"/>
    <mergeCell ref="A628:J628"/>
    <mergeCell ref="A617:J617"/>
    <mergeCell ref="A720:J720"/>
    <mergeCell ref="G161:G162"/>
    <mergeCell ref="A763:J763"/>
    <mergeCell ref="A719:J719"/>
    <mergeCell ref="A724:J724"/>
    <mergeCell ref="J725:J726"/>
    <mergeCell ref="A736:J736"/>
    <mergeCell ref="J231:J232"/>
    <mergeCell ref="A681:J681"/>
    <mergeCell ref="A74:J74"/>
    <mergeCell ref="A91:J91"/>
    <mergeCell ref="D161:D162"/>
    <mergeCell ref="H161:H162"/>
    <mergeCell ref="J161:J162"/>
    <mergeCell ref="A83:J83"/>
    <mergeCell ref="I161:I162"/>
    <mergeCell ref="A123:J123"/>
  </mergeCells>
  <printOptions/>
  <pageMargins left="0.63" right="0.25" top="1" bottom="1" header="0.5" footer="0.5"/>
  <pageSetup horizontalDpi="600" verticalDpi="600" orientation="landscape" paperSize="9" scale="8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Putintseva</dc:creator>
  <cp:keywords/>
  <dc:description/>
  <cp:lastModifiedBy>Румянцева</cp:lastModifiedBy>
  <cp:lastPrinted>2024-03-28T05:07:50Z</cp:lastPrinted>
  <dcterms:created xsi:type="dcterms:W3CDTF">2010-05-14T04:48:35Z</dcterms:created>
  <dcterms:modified xsi:type="dcterms:W3CDTF">2024-03-28T06:25:47Z</dcterms:modified>
  <cp:category/>
  <cp:version/>
  <cp:contentType/>
  <cp:contentStatus/>
</cp:coreProperties>
</file>