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вод 2020" sheetId="1" r:id="rId1"/>
  </sheets>
  <definedNames/>
  <calcPr fullCalcOnLoad="1"/>
</workbook>
</file>

<file path=xl/sharedStrings.xml><?xml version="1.0" encoding="utf-8"?>
<sst xmlns="http://schemas.openxmlformats.org/spreadsheetml/2006/main" count="1016" uniqueCount="789">
  <si>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</si>
  <si>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Итого по Задаче 1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</si>
  <si>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 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от 07 ноября 2018 г. № 190/1512 «Об 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</si>
  <si>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 xml:space="preserve"> </t>
  </si>
  <si>
    <t xml:space="preserve">Возмещение недополученных доходов организациям </t>
  </si>
  <si>
    <t>Обеспечение субсидиарной ответственности по задолженности МКП «Энергетик»</t>
  </si>
  <si>
    <t>Техническое обслуживание скважины в д.Ключи МКП "Энергетик"</t>
  </si>
  <si>
    <t>Итого по подпрограмме 3:</t>
  </si>
  <si>
    <t>&gt;=90</t>
  </si>
  <si>
    <t>Доля расходов бюджета Снежинского городского округа, формируемых в рамках программно-целевого метода, в общем объеме расходов бюджета городского округа (%)</t>
  </si>
  <si>
    <t>&gt;=50</t>
  </si>
  <si>
    <t>Доля расходов бюджета Снежинского городского округа в составе муниципальных заданий в общем объеме расходов бюджета городского округа (%)</t>
  </si>
  <si>
    <t xml:space="preserve"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</si>
  <si>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деятельности Управления образования</t>
  </si>
  <si>
    <t>Охват детей 0-7 лет дошкольным образованием</t>
  </si>
  <si>
    <t>Доля ДОО, оснащенных системой видеонаблюдения</t>
  </si>
  <si>
    <t>Протяженность отремонтированных автодорог (ремонт асфальтобетонного покрытия)</t>
  </si>
  <si>
    <t>Оценка эффективности реализации муниципальных программ в 2020 году</t>
  </si>
  <si>
    <t>Количество дорожно-транспортных происшествий</t>
  </si>
  <si>
    <t xml:space="preserve">Сети электроснабжения 0,4 кВ и 10 кВ с трансформаторной подстанцией мощностью 400 кВа в поселке Ближний Береговой </t>
  </si>
  <si>
    <t>Планировалось  выполнение мероприятия по п. 3 данной оценки. Далее см. причину отклонения по п. 3.</t>
  </si>
  <si>
    <t>- «Месячник безопасности людей на водных объектах Снежинского городского округа»;</t>
  </si>
  <si>
    <t>- «Крещенские купания».</t>
  </si>
  <si>
    <t>Задача 10. Обеспечение эксплуатации и развития системы обеспечения вызова экстренных оперативных служб по единому номеру «112».</t>
  </si>
  <si>
    <r>
      <t>Количество используемых специализированных технических средств оповещения и информирования населения в местах массового пребывания людей</t>
    </r>
    <r>
      <rPr>
        <sz val="10"/>
        <color indexed="63"/>
        <rFont val="Times New Roman"/>
        <family val="1"/>
      </rPr>
      <t>. (Показатель №4)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</si>
  <si>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 </t>
  </si>
  <si>
    <t>Подпрограмма 2 "Повышение безопасности дорожного движения"</t>
  </si>
  <si>
    <t>Итого по подпрограмме 2:</t>
  </si>
  <si>
    <t>Итого по подпрограмме 3</t>
  </si>
  <si>
    <t>Итого по подпрограмме 4</t>
  </si>
  <si>
    <t>Итого по Программе 9</t>
  </si>
  <si>
    <t>Пробег ТС по маршрутам</t>
  </si>
  <si>
    <t>Количество перевезенных пассажиров</t>
  </si>
  <si>
    <t>Площадь текущего ремонта улично-дорожной сети (ямочного, картами)</t>
  </si>
  <si>
    <t>Капитальный ремонт объектов</t>
  </si>
  <si>
    <t>Организация весеннего субботника</t>
  </si>
  <si>
    <t>Протяженность живой изгороди улиц на содержании</t>
  </si>
  <si>
    <t>Объем мусора, ликвидированного с несанкционированных свалок</t>
  </si>
  <si>
    <t>Количество безнадзорных животных, подвергнутых отлову</t>
  </si>
  <si>
    <t>Количество  объектов  реестра муниципального имущества</t>
  </si>
  <si>
    <t>Балансовая стоимость муниципального имущества, учтенного в реестре  муниципального имущества</t>
  </si>
  <si>
    <t>Количество объектов  муниципального имущества (кроме земельных участков), по которым КУИ города Снежинска организовано проведение кадастровых работ (в течение года)</t>
  </si>
  <si>
    <t>Задача 8. Осуществление сбора информации в области защиты населения и территорий от чрезвычайных ситуаций и обмен такой информацией.</t>
  </si>
  <si>
    <t>- единая дежурно-диспетчерская служба Снежинского городского округа (ЕДДС г.Снежинска).(Показатель №10)</t>
  </si>
  <si>
    <t>Задача 9. Осуществление мероприятий по обеспечению безопасности людей на водных объектах, охране их жизни и здоровья.</t>
  </si>
  <si>
    <t>Количество планов мероприятий по охране жизни и здоровья людей, предупреждению чрезвычайных ситуаций и ликвидации их последствий на водных объектах, расположенных в границах ЗАТО г. Снежинск(Показатель №13)</t>
  </si>
  <si>
    <t>Исполнение плана по расходам в бюджета Снежинского городского округа (%)</t>
  </si>
  <si>
    <t>&gt; 90</t>
  </si>
  <si>
    <t>&lt;=10</t>
  </si>
  <si>
    <t>Дефицит бюджета по отношению к утвержденному годовому объему доходов местного бюджета без учета утвержденного объема безвозмездных поступлений (%)</t>
  </si>
  <si>
    <t>Организация в пределах своих полномочий обеспечения сбалансированности местного бюджета</t>
  </si>
  <si>
    <t>Доля расходов бюджета Снежинского городского округа на обслуживание муниципального долга в общем объеме расходов местного бюджета (%)</t>
  </si>
  <si>
    <t>&lt;5</t>
  </si>
  <si>
    <t>Муниципальный долг Снежинского городского округа по отношению к утвержденному годовому объему доходов местного бюджета без учета утвержденного объема безвозмездных поступлений (%)</t>
  </si>
  <si>
    <t>&lt;=50</t>
  </si>
  <si>
    <t>Актуализация Схемы теплоснабжения ЗАТО г. Снежинск на период с 2013 года по 2027 год</t>
  </si>
  <si>
    <t>Количество дорожных знаков на содержании</t>
  </si>
  <si>
    <t>Протяженность дорожных ограждений на содержании</t>
  </si>
  <si>
    <t>Cредства социальной выплаты использовилась на погашение ипотечного кредита; к моменту использования соц. выплаты размер остатка по ипотечному кредиту был меньше размера социальной выплаты</t>
  </si>
  <si>
    <t>Итого по задаче 1</t>
  </si>
  <si>
    <t>Итого по задаче 3</t>
  </si>
  <si>
    <t>Итого по задаче 4</t>
  </si>
  <si>
    <t>Итого по задаче 5</t>
  </si>
  <si>
    <t>Протяженность реконструированных автомобильных дорог</t>
  </si>
  <si>
    <t>Количество реконструированных объектов дорожно-транспортной инфраструктуры</t>
  </si>
  <si>
    <t>Доля использованной муниципальным образованием субсидии местному бюджету на оборудование ППЭ в общем размере субсидии местному бюджету на оборудование ППЭ, перечисленной муниципальному образованию</t>
  </si>
  <si>
    <t>Снижение удельного веса численности обучающихся в общеобразовательных организациях, занимающихся в зданиях, требующих капитального ремонта или реконструкции</t>
  </si>
  <si>
    <t>Доля выполненных ремонтов в зданиях муниципальных образовательных организаций в общем количестве зданий муниципальных образовательных организаций, запланированных к проведению ремонта в текущем году</t>
  </si>
  <si>
    <t>Доля лагерей, принятых к началу летней оздоровительной кампании</t>
  </si>
  <si>
    <t>Доля детей, охваченных отдыхом в каникулярное время в лагерях с дневным пребыванием детей, в общем числе детей Челябинской области, охваченных отдыхом в организациях отдыха детей и их оздоровления всех типов</t>
  </si>
  <si>
    <t>Количество педагогов, принявших участие в очных конкурсах профессионального мастерства</t>
  </si>
  <si>
    <t>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</t>
  </si>
  <si>
    <t xml:space="preserve">доля расходов по Программе в общем объеме средств </t>
  </si>
  <si>
    <t>Количество победителей и призеров областных, всероссийских и международных соревнований в общей численности обучающихся и спортсменов ДЮСШ, СШ и СШОР</t>
  </si>
  <si>
    <t>Количество игр, проведенных командой Сунгуль в чемпионате России по гандболу</t>
  </si>
  <si>
    <t>Занятое место в финале Первенства Российской Федерации по гандболу командой этапов спортивной специализации и спортивного совершенствования СШОР</t>
  </si>
  <si>
    <t>Подпрограмма 4. Реализация государственной политики  в области физической культуры и спорта</t>
  </si>
  <si>
    <t>Количество подведомственных Управлению учреждений, в которых проведена оценка качества их деятельности</t>
  </si>
  <si>
    <t>Количество работников Управления повысивших свою квалификацию или прошедших курсы переподготовки</t>
  </si>
  <si>
    <t>Количество компьютеров работников Управления, на которые установлено обновленное программное обеспечение</t>
  </si>
  <si>
    <t>Доля граждан Снежинского городского округа, систематически занимающихся физической культурой и спортом, в общей численности населения Снежинского городского округа в возрасте 3 - 79 лет</t>
  </si>
  <si>
    <t>Доля граждан Снежинского городского округа, занимающихся физической культурой и спортом по месту работы, в общей численности населения, занятого в экономике Снежинского городского округа</t>
  </si>
  <si>
    <t>Количество молодых специалистов, работающих в общеобразовательных организациях и Дворце творчества, приступивших к работе в учебном году</t>
  </si>
  <si>
    <t>Доля учащихся, обучающихся в современных условиях, в общей численности обучающихся</t>
  </si>
  <si>
    <t>Доля пунктов проведения государственной итоговой аттестации в форме единого государственного экзамена, в котором применена технология печати и сканирования контрольно-измерительных материалов</t>
  </si>
  <si>
    <t>Доля образовательных организаций, принятых к новому учебному году</t>
  </si>
  <si>
    <t>Подпрограмма 1 «Привлечение населения города Cнежинска к систематическим занятиям физической культурой и спортом"</t>
  </si>
  <si>
    <t>Количество контейнеров для сбора мусора на береговой полосе озера Синара</t>
  </si>
  <si>
    <t>Количество проводимых конкурсов "Самый благоустроенный двор"</t>
  </si>
  <si>
    <t>Количество дворового оборудования, находящегося на содержании, в том числе: игровые комплексы, качели, карусели, песочницы, спортплощадки, турники, горки, бельевые, хоккейные корты и т.д.</t>
  </si>
  <si>
    <t>Количество установок «Вечный огонь» на обслуживании</t>
  </si>
  <si>
    <t xml:space="preserve">Достижение индикативного показателя за меньшее использование средств бюджета </t>
  </si>
  <si>
    <t>Площадь отремонтированных пешеходных дорожек из щебня</t>
  </si>
  <si>
    <t xml:space="preserve">Благоустройство территорий, </t>
  </si>
  <si>
    <t>283.5/50</t>
  </si>
  <si>
    <t>Площадь устроенного щебеночного основания для парковки транспорта</t>
  </si>
  <si>
    <t>Объем привозимого песка на детские площадки</t>
  </si>
  <si>
    <t xml:space="preserve">Ремонт нерегулируемых пешеходных переходов, с применением типовых схем организации дорожного движения в непосредственной близости от общеобразователь
ного учреждения
</t>
  </si>
  <si>
    <t>Количество закрытых пешеходных переходов, необоснованно расположенных</t>
  </si>
  <si>
    <t>Установка искусственных неровностей</t>
  </si>
  <si>
    <t>Количество установленных искусственных неровностей</t>
  </si>
  <si>
    <t>Транспортировка тел умерших с места смерти до ПАК ЦМСЧ-15, проведение гражданской панихиды, предоставление катафалка, содержание кладбищ (МБУ «Ритуал-сервис», МКУ "Ритуал")</t>
  </si>
  <si>
    <t>Содержание улично-дорожной сети, уходные работы за зелеными насаждениями, содержание дорожных ограждений, содержание дорожных знаков. Содержание и текущий ремонт сети ливневой канализации, содержание снежной свалки, организация вывоза ТБО, КБМ и содержания контейнерных площадок (МКП "Чистый город")</t>
  </si>
  <si>
    <t>Количество обслуживаемых контейнерных площадок для сбора ТБО</t>
  </si>
  <si>
    <t>Протяженность обслуживаемых сетей  ливневой канализации</t>
  </si>
  <si>
    <t>Количество снежных валок на содержании</t>
  </si>
  <si>
    <t>Площадь скверов, площадей и др. территорий с повышенными требованиями к эксплуатационному состоянию на содержании</t>
  </si>
  <si>
    <t>Объем вывозимых ЖБО</t>
  </si>
  <si>
    <t xml:space="preserve">Объем предоставляемых банных услуг </t>
  </si>
  <si>
    <t>Количество субсидий по задолженности МКП «Энергетик»</t>
  </si>
  <si>
    <t>Количество обслуживаемых скважин в д. Ключи МКП «Энергетик»</t>
  </si>
  <si>
    <t>Всего по программе 14:</t>
  </si>
  <si>
    <t>Количество мероприятий, проведенных в приюте</t>
  </si>
  <si>
    <t>Подпрограмма 2 «Повышение безопасности дорожного движения»</t>
  </si>
  <si>
    <t>Количество информационных систем обеспечения типовой деятельности</t>
  </si>
  <si>
    <t>Снижение количества дней посещения обучающимися в связи с болезнью, карантинными мерами для недопущения распространения COVID-19</t>
  </si>
  <si>
    <t>Нагрузка на водоотведение (тыс. м3/сут)</t>
  </si>
  <si>
    <t>Уменьшение количества аварий и повреждений в системе водоотведения (шт./км)</t>
  </si>
  <si>
    <t>Протяженность сетей, нуждающихся в замене (км)</t>
  </si>
  <si>
    <t>Удельный вес сетей, нуждающихся в замене  (%)</t>
  </si>
  <si>
    <t>Удельное количество засоров на сетях канализации (шт./км)</t>
  </si>
  <si>
    <t>Уровень потерь сточной воды при транспортировке %)</t>
  </si>
  <si>
    <t>Уменьшение удельного расхода электроэнергии в системе водоотведения (кВтч/м3)</t>
  </si>
  <si>
    <t>Удельное водоотведение (м3/чел)</t>
  </si>
  <si>
    <t>Итого по программе 2:</t>
  </si>
  <si>
    <t>Итого по Программе 6:</t>
  </si>
  <si>
    <t>9. Муниципальная Программа "Комплексное развитие систем коммунальной инфраструктуры  Снежинского городского округа" на 2017-2026 гг.</t>
  </si>
  <si>
    <t>10. Муниципальная Программа "Создание и содержание мест (контейнерных  площадок) накопления твердых коммунальных отходов на территории Снежинского городского округа" на 2019-2023 годы</t>
  </si>
  <si>
    <t>1. Подпрограмма "Развитие системы художественного образования"</t>
  </si>
  <si>
    <t>Пенсии за выслугу лет муниципальным служащим, лицам, осуществлявшим полномочия депутата на профессиональной постоянной основе, полномочия выборного должностного лица местного самоуправления</t>
  </si>
  <si>
    <t>Выплата единовременного поощрения муниципальным служащим при выходе на пенсию за выслугу лет (согласно Порядку)</t>
  </si>
  <si>
    <t xml:space="preserve">Финансовое обеспечение  и создание условий для стабильного предоставления дополнительных мер социальной поддержки отдельных категорий граждан </t>
  </si>
  <si>
    <t>Количество фонтанных установок на обслуживании</t>
  </si>
  <si>
    <t>Обеспечение деятельности МКУ «УГХ СГО»</t>
  </si>
  <si>
    <t>Проведение анализа предоставленных налоговых льгот (в т.ч.за счет установления пониженных налоговых ставок) по местным налогам</t>
  </si>
  <si>
    <t>да</t>
  </si>
  <si>
    <t>Повышение квалификации муниципальных служащих города (с получением свидетельства государственного образца), участие в семинарах, конференциях по профильным направлениям деятельности и вопросам муниципальной службы</t>
  </si>
  <si>
    <t>16. Муниципальная Программа "Энергосбережение и повышение энергетической эффективности на территории муниципального образования "Город Снежинск" на 2017-2022 гг.</t>
  </si>
  <si>
    <t>8. Муниципальная Программа "Формирование современной городской среды Снежинского городского округа" на 2017-2022 гг.</t>
  </si>
  <si>
    <t>Объем потребления ТЭ МУ, тыс.
Гкал</t>
  </si>
  <si>
    <t>Объем потребления ЭЭ МУ, тыс.
кВтч</t>
  </si>
  <si>
    <t>Объем потребления холодной воды МУ, тыс. м3</t>
  </si>
  <si>
    <t>Объем потребления горячей воды МУ, тыс. м3</t>
  </si>
  <si>
    <t>Удельный расход ТЭ МУ на 1 м² общей площади,  Гкал/м2</t>
  </si>
  <si>
    <t>Удельный расход ЭЭ на обеспечение МУ, кВтч/ чел</t>
  </si>
  <si>
    <t>Удельный расход ЭЭ на снабжение МУ, кВтч/ м2</t>
  </si>
  <si>
    <t>Удельный расход холодной воды на обеспечение БУ,  м3/чел</t>
  </si>
  <si>
    <t>Удельный расход горячей воды на обеспечение БУ,  м3/чел</t>
  </si>
  <si>
    <t>Отношение площади МУ, в которых расчет за ТЭ осуществляется с использованием приборов учета, к общей площади МУ, %</t>
  </si>
  <si>
    <t>Отношение численности сотрудников МУ  в которых расход холодной воды осуществляют с использованием приборов учета, к общей численности сотрудников МУ, %</t>
  </si>
  <si>
    <t>Отношение численности сотрудников МУ  в которых расход горячей воды осуществляют с использованием приборов учета, к общей численности сотрудников МУ, %</t>
  </si>
  <si>
    <t>Удельный расход ЭЭ в системах уличного освещения города, кВтч/м2 освещаемой площади</t>
  </si>
  <si>
    <t>Доля общеобразовательных учреждений и учреждений дополнительного образования, оснащенных системой видеонаблюдения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</si>
  <si>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Доля обучающихся, имеющих I или II группу здоровья, в общей численности обучающихся общеобразовательных учреждений</t>
  </si>
  <si>
    <t>Доля детей, прошедших обследование и получивших консультации в городской психолого-медико-педагогической комиссии (ГПМПК) из числа нуждающихся</t>
  </si>
  <si>
    <t>Количество родителей (законных представителей) детей-инвалидов, получающих компенсацию за самостоятельное обучение детей на дому</t>
  </si>
  <si>
    <t>Количество спортивных клубов</t>
  </si>
  <si>
    <t>Количество проведенных массовых физкультурных и спортивных мероприятий</t>
  </si>
  <si>
    <t>Доля зарегистрированных объектов недвижимого имущества, по отношению к общему  количеству недвижимого имущества, подлежащего  регистрации</t>
  </si>
  <si>
    <t>Доля объектов недвижимого имущества, поставленных на кадастровый учет, по отношению к общему количеству объектов  недвижимого  имущества, подлежащего постановке  на государственный кадастровый учет</t>
  </si>
  <si>
    <t>Доля земельных участков, местоположение границ которых не установлено, в соответствии с требованиями Закона о регистрации, в общем количестве  земельных участков, право собственности на которые  в соответствии с законодательством  подлежит государственной  регистрации</t>
  </si>
  <si>
    <t>Установка индивидуальных приборов учета холодной, горячей воды в муниципальных квартирах</t>
  </si>
  <si>
    <t>По жилищному сектору</t>
  </si>
  <si>
    <t xml:space="preserve">Удельная величина потребления электрической энергии, кВтч /  чел.в  год </t>
  </si>
  <si>
    <t xml:space="preserve">Удельная величина потребления тепловой энергии, Гкал/
 м2 в год     
</t>
  </si>
  <si>
    <t>Удельная величина потребления холодной воды, м3/чел в год</t>
  </si>
  <si>
    <t>Удельная величина потребления горячей воды, м3/чел в год</t>
  </si>
  <si>
    <t>Удельная величина потребления природного газа, м3/чел в год</t>
  </si>
  <si>
    <t>По коммунальной инфораструктуре</t>
  </si>
  <si>
    <t>Фактический объем потребления и удельные расходы энергетических ресурсов меньше, чем соответствующие плановые значения, в связи с пандемией (влияние пандемии, во время которой организации, школы, детские сады не работали)</t>
  </si>
  <si>
    <t>Актуализация Схемы водоснабжения и водоотведения муниципального образования «Город Снежинск» на период с 2014г. по 2030г.</t>
  </si>
  <si>
    <t xml:space="preserve">1.4.Пропаганда физической культуры, массового спорта и здорового образа жизни </t>
  </si>
  <si>
    <t xml:space="preserve">Доля граждан Снежинского городского округа, систематически занимающихся физической культурой и спортом, 
в общей численности населения Снежинского городского округа 
в возрасте 3 - 79 лет 
</t>
  </si>
  <si>
    <t xml:space="preserve">Доля лиц с ограниченными возможностями здоровья, систематически занимающихся физической культурой и спортом, 
в общей численности данной категории населения в Снежинском  городском округе
</t>
  </si>
  <si>
    <t xml:space="preserve">Доля детей и молодежи (возраст 3-29 лет), систематически занимающихся физической культурой и спортом в общей численности детей 
и молодежи
</t>
  </si>
  <si>
    <t>Охват детей и подростков (6-15) лет массовым спортом в учреждениях спортивной направленности</t>
  </si>
  <si>
    <t xml:space="preserve">Количество проведенных физкультурно-спортивных мероприятий 
и соревнований по видам спорта
</t>
  </si>
  <si>
    <t>Количество размещенных анонсов в местах массового пребывания людей и в средствах массовой информации</t>
  </si>
  <si>
    <t>Итого областной (федеральный) бюджет</t>
  </si>
  <si>
    <t>ВСЕГО</t>
  </si>
  <si>
    <t>Всего по Программе 13</t>
  </si>
  <si>
    <t xml:space="preserve">Обеспечение питанием учащихся (воспитанников) МБОУ СКОШ № 122, 128                </t>
  </si>
  <si>
    <t>Организация отдыха детей в каникулярное время</t>
  </si>
  <si>
    <t>Строительство площадки для игры в стритбол и воркаут на стадионе им.Ю.А.Гагарина</t>
  </si>
  <si>
    <t>2.  Муниципальная программа "Развитие культуры и реализация молодежной политики в Снежинском городском округе" на 2018-2024гг.</t>
  </si>
  <si>
    <t>2.1.1. Социальная активность</t>
  </si>
  <si>
    <t>Число посещений организаций культуры</t>
  </si>
  <si>
    <t xml:space="preserve">Количество мероприятий по пропаганде знаний в области гражданской обороны, предупреждения и ликвидации ЧС. (Показатель №2):                                                                            -выступление перед представителями СМИ;                                                                      
</t>
  </si>
  <si>
    <t xml:space="preserve"> -подготовка материалов для печатных СМИ;</t>
  </si>
  <si>
    <t xml:space="preserve"> -памятки для населения.</t>
  </si>
  <si>
    <t>Задача 2. Обеспечение функционирования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ситуаций.</t>
  </si>
  <si>
    <t>Обеспечение функционирования Управления ГОЧС г. Снежинска. (Показатель №3)</t>
  </si>
  <si>
    <t>Задача 3.Поддержание в состоянии постоянной готовности к использованию систем оповещения населения об опасности. Обеспечение своевременного оповещение населения об угрозе возникновения или о возникновении чрезвычайных ситуаций.</t>
  </si>
  <si>
    <t>- уличных громкоговорителей</t>
  </si>
  <si>
    <t xml:space="preserve"> - электросирен</t>
  </si>
  <si>
    <t>Количество ОО, внедряющих стандарты проекта «Школа Росатома»</t>
  </si>
  <si>
    <t>Охват детей дополнительным образованием</t>
  </si>
  <si>
    <t>Адаптация спортивных сооружений для инвалидов и других МГН (маломобильные группы населения) и приобретение специального оборудования</t>
  </si>
  <si>
    <t xml:space="preserve">Количество утвержденных транспортных маршрутов </t>
  </si>
  <si>
    <t xml:space="preserve">Площадь наносимой дорожной разметки </t>
  </si>
  <si>
    <t>3. 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2017 - 2020 гг.</t>
  </si>
  <si>
    <t>Содержание ребенка в семье опекуна и приемной семье, оплата труда приемному родителю</t>
  </si>
  <si>
    <t>Выплата ежемесячного пособия на ребенка гражданам, имеющим детей</t>
  </si>
  <si>
    <t>Финансовое обеспечение получения общего, дополнительного образования и услуг по присмотру и уходу в общеобразовательных организациях</t>
  </si>
  <si>
    <t>Финансовое обеспечение получения  дополнительного образования во Дворце творчества</t>
  </si>
  <si>
    <t>Финансовое обеспечение профессионального обучения по программам профессиональной подготовки по профессиям рабочих и должностям служащих</t>
  </si>
  <si>
    <t>Обеспечение питанием отдельных (льготных) категорий обучающихся  в муниципальных общеобразовательных учреждениях (МБОУ № 117, 121, 125, 126, 127, 135)</t>
  </si>
  <si>
    <t>Круглогодичное содержание загородного лагеря</t>
  </si>
  <si>
    <t>Проведение психолого-медико-педагогического обследования и комплекса работ, связанных с сопровождением обучающихся, испытывающих трудности в освоении основных общеобразовательных программ</t>
  </si>
  <si>
    <t>Проведение различных мероприятий муниципального уровня, обеспечение участия обучающихся и педагогических работников в областных, региональных,  российских и международных мероприятиях</t>
  </si>
  <si>
    <t>Организация и проведение конкурсов профессионального мастерства; участие работников в областных и российских конкурсах профессионального мастерства</t>
  </si>
  <si>
    <t>14. Муниципальная Программа  "Содержание городского хозяйства в Снежинском городском округе" на 2019 - 2024 гг.</t>
  </si>
  <si>
    <t>Доля образовательных организаций, в которых созданы условия для получения детьми-инвалидами качественного образования, в общем количестве образовательных организаций</t>
  </si>
  <si>
    <t>Доля приоритетных объектов в сфере дошкольного образования, в которых создана универсальная безбарьерная среда для инклюзивного образования инвалидов, в общем количестве приоритетных объектов в сфере дошкольного образования</t>
  </si>
  <si>
    <t>Количество подведомственных Управлению образования учреждений</t>
  </si>
  <si>
    <t>Итого по Программе 3.</t>
  </si>
  <si>
    <t>Предоставление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</si>
  <si>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Расходы для проведения государственной итоговой аттестации</t>
  </si>
  <si>
    <t>доля расходов по Программе 3 в общем объеме полученных средств</t>
  </si>
  <si>
    <t>Количество органов повседневного управления Снежинского звена РСЧС:</t>
  </si>
  <si>
    <t>1-й и 2-ой напорные водоводы в жилом районе "Поселок Сокол" (проектно-изыскательские работы)</t>
  </si>
  <si>
    <t>Строительство разгрузочного водовода диаметром 600 мм и длиной 2 900 м от колодца 49а насосной станции 2-го подъема до проспекта им. К.И. Щелкина, в т.ч. ПИР</t>
  </si>
  <si>
    <t>Разгрузочный водовод диаметром 600 мм от здания 474 пл. 29 до проспекта им. К.И. Щелкина (проектно-изыскательские работы)</t>
  </si>
  <si>
    <t>Предоставление субсидий бюджетному учреждению на финансовое обеспечение программного и информационного сопровождения, обслуживание оргтехники для органов местного самоуправления и органов управления, Администрации</t>
  </si>
  <si>
    <t xml:space="preserve">Предоставление субсидий бюджетному учреждению на осуществление издательской деятельности </t>
  </si>
  <si>
    <t>Доля компьютеров, подключенных к системе электронного документооборота</t>
  </si>
  <si>
    <t>Доля защищенных рабочих мест с доступом к государственным и региональным информационным системам, системам межведомственного электронного взаимодействия</t>
  </si>
  <si>
    <t>Количество выпущенных номеров печатного издания</t>
  </si>
  <si>
    <t>Количество субъектов информационного взаимодействия (органов местного самоуправления и их подведомственных учреждений), использующих стандарты безопасного информационного взаимодействия</t>
  </si>
  <si>
    <t>Взносы на обязательное социальное страхование за декабрь 2020 года будут оплачены в январе 2021 года</t>
  </si>
  <si>
    <t>1. «Оказание молодым семьям государственной поддержки для улучшения жилищных условий в городе Снежинске»</t>
  </si>
  <si>
    <t>2. «Развитие системы ипотечного жилищного кредитования»</t>
  </si>
  <si>
    <t xml:space="preserve"> 3. «Подготовка земельных участков для освоения в целях жилищного строительства»</t>
  </si>
  <si>
    <t>1. «Оказание молодым семьям государственной поддержки для улучшения жилищных условий в городе Снежинске» ФБ</t>
  </si>
  <si>
    <t>2. «Оказание молодым семьям государственной поддержки для улучшения жилищных условий в городе Снежинске» ОБ</t>
  </si>
  <si>
    <t>Количество тел, транспортированных от зала траурных обрядов до кладбища</t>
  </si>
  <si>
    <t xml:space="preserve">21  августа 2020  года заключен контракт № 0369300005120000009  09-ПИР/2020 "на выполнение архитектурно-строительного проектирования по объекту: Многоквартирный жилой дом в г. Снежинске (проектно-изыскательские работы)" на сумму 963 496,18 рублей .
 По условиям контакта оплачено 70 % в 2020 году, остальные 30 %  - после прохождения гос экспертизы. Средства в размере 674 447,33 руб. предусмотрены бюджетом города на 2021 год
</t>
  </si>
  <si>
    <t>Благоустройство спуска к озеру Синара от бульвара Циолковского</t>
  </si>
  <si>
    <t>Комплексное благоустройство территории Парка культуры и отдыха в г.Снежинске</t>
  </si>
  <si>
    <t>Создание цифровой платформы вовлечения граждан в решение вопросов городского развития "Активный горожанин", предусмотренной базовыми и дополнительными требованиями к умным городам согласно стандарту "Умный город" (закупка дополнительных сервисов)</t>
  </si>
  <si>
    <t>Количество представленных в Министерство строительства и инфраструкту-ры Челябинской области лучших реализованных проектов по благоустройству дворовых территорий многоквартир-ных домов (мест массового отдыха населения (городских парков), общественных территорий</t>
  </si>
  <si>
    <t>Доля обращений граждан, зарегистрированных с использованием информационной системы «Активный горожанин», от общего числа поступивших обращений граждан</t>
  </si>
  <si>
    <t xml:space="preserve">1.1 Финансовое обеспечение деятельности детских школ искусств 
</t>
  </si>
  <si>
    <t xml:space="preserve">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</t>
  </si>
  <si>
    <t>ИТОГО ПО НАПРАВЛЕНИЮ 1.1</t>
  </si>
  <si>
    <t xml:space="preserve">2. «Реализация молодежной политики» </t>
  </si>
  <si>
    <t>2.1. Создание условий для более полного вовлечения молодежи в социально-экономическую, политическую и культурную жизнь общества</t>
  </si>
  <si>
    <t xml:space="preserve">Количество молодых граждан в возрасте от 14 до 30 лет, принявших участие в реализации мероприятий патриотической направленности </t>
  </si>
  <si>
    <t>Доля молодых людей от общего числа молодых людей в возрасте от 14 до 30 лет, принявших участие в мероприятиях, направленных на развитие правовой грамотности и повышение электоральной активности</t>
  </si>
  <si>
    <t>Доля обучающихся в общеобразовательных учреждениях, принимающих участие в муниципальных мероприятиях, муниципальном этапе Всероссийской и областной олимпиады школьников, от общего числа обучающихся</t>
  </si>
  <si>
    <t>Доля обучающихся в общеобразовательных учреждениях, принимающих участие в мероприятиях областного, всероссийского, международного уровней, от общего числа обучающихся</t>
  </si>
  <si>
    <t>5. Муниципальная Программа "Социальная поддержка жителей Снежинского городского округа" на 2019- 2024 гг.</t>
  </si>
  <si>
    <t>Задача 1 Подпрограммы 1"Улучшение качества жизни детей и семей с детьми"</t>
  </si>
  <si>
    <t xml:space="preserve">Выплата денежных средств на реализацию права бесплатного проезда и на содержание детей, находящихся под опекой </t>
  </si>
  <si>
    <t xml:space="preserve">Выплата областного единовременного пособия при рождении ребенка </t>
  </si>
  <si>
    <t>Не оплачены счета за декабрь 2020 года (оплата услуг связи "Ростелеком", э/э, тепло,  приобретение ГСМ)</t>
  </si>
  <si>
    <t>Удельный вес занимающихся физической культурой и спортом на платной основе</t>
  </si>
  <si>
    <t>Загруженность спортивных сооружений подведомственных Управлению учреждений</t>
  </si>
  <si>
    <t>Загруженность спортивных сооружений подведомственных Управлению учреждений от нормативного значения</t>
  </si>
  <si>
    <t>Количество объектов, внесенных во Всероссийский реестр объектов спорта</t>
  </si>
  <si>
    <t>Доля спортивных сооружений, обеспеченных системой видеонаблюдения</t>
  </si>
  <si>
    <t>2.1 Реализация дополнительных общеобразовательных общеразвивающих программ</t>
  </si>
  <si>
    <t>2.2 Реализация дополнительных предпрофессиональных программ в области физической культуры и спорта</t>
  </si>
  <si>
    <t>2.3 Реализация программ спортивной подготовки</t>
  </si>
  <si>
    <t>2.4 Организация и проведение спортивно-оздоровительной работы по развитию физической культуры и спорта</t>
  </si>
  <si>
    <t>Магистральные сети электроснабжения жилого поселка №2, расположенного в  г.Снежинске Челябинской области</t>
  </si>
  <si>
    <t>Всего по Программе 1</t>
  </si>
  <si>
    <t xml:space="preserve">Подпрограммы </t>
  </si>
  <si>
    <t>Подпрограммы</t>
  </si>
  <si>
    <t>Управление образования</t>
  </si>
  <si>
    <t>УФиС</t>
  </si>
  <si>
    <t>Доля дошкольных образовательных организаций, принятых к новому учебному году</t>
  </si>
  <si>
    <t>Доля обучающихся, охваченных программами профессиональной подготовки по профессиям рабочих и должностям служащих, в общей численности учащихся 10-11 классов</t>
  </si>
  <si>
    <t>Количество кадетских классов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</si>
  <si>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</t>
  </si>
  <si>
    <t>12. Муниципальная программа "Развитие системы гражданской обороны, защиты от чрезвычайных ситуаций" на 2019-2024г.г.</t>
  </si>
  <si>
    <t xml:space="preserve"> -рупорных громковорителей</t>
  </si>
  <si>
    <t>Задача 4.Участие в пределах своих полномочий в создании, размещении, хранении, использовании, пополнении резервов материально-технических, продовольственных, медицинских и иных средств на территории Снежинского городского округа для решения задач гражданской обороны, предотвращения угрозы  или ликвидации последствий чрезвычайных ситуаций природного и техногенного характера.</t>
  </si>
  <si>
    <t>Создание и содержание в целях гражданской обороны запасов продовольствия, медицинских средств индивидуальной защиты и иных средств. (Показатель №6):</t>
  </si>
  <si>
    <t xml:space="preserve"> - продовольствие из расчета снабжения на 3 суток;</t>
  </si>
  <si>
    <t xml:space="preserve"> - медикаменты;</t>
  </si>
  <si>
    <t xml:space="preserve"> - вещевое имущество;</t>
  </si>
  <si>
    <t xml:space="preserve"> - спецодежда;</t>
  </si>
  <si>
    <t xml:space="preserve"> - респираторы;</t>
  </si>
  <si>
    <t xml:space="preserve"> - мобильные источники электроснабжения</t>
  </si>
  <si>
    <t>Задача 5. Обеспечение, в пределах своих полномочий, первичных мер пожарной безопасности в границах Снежинского городского округа.</t>
  </si>
  <si>
    <t>Доля выполненных ремонтов в зданиях муниципальных организациях отдыха и оздоровления детей в общем количестве зданий муниципальных организациях отдыха и оздоровления детей, запланированных к проведению ремонта в текущем году</t>
  </si>
  <si>
    <t>Количество зарегистрированных преступлений</t>
  </si>
  <si>
    <t>Количество преступлений, совершенных в общественных местах</t>
  </si>
  <si>
    <t>Количество преступлений, совершенных лицами, находящимися в состоянии опьянения</t>
  </si>
  <si>
    <t>Количество преступлений, совершенных                                 несовершеннолетними</t>
  </si>
  <si>
    <t xml:space="preserve">8. Муниципальная Программа  "Социальная поддержка жителей  Снежинского городского округа" на 2019 - 2024 гг. , Подпрограмма 2 "Предоставление дополнительных мер социальной поддержки отдельным категориям граждан (местные полномочия) </t>
  </si>
  <si>
    <t>Всего по Программе 5</t>
  </si>
  <si>
    <t xml:space="preserve">доля расходов  в общем объеме полученных средств </t>
  </si>
  <si>
    <t>Задача 2  Подпрграммы 2 "Предоставление дополнительных мер социальной поддержки и дополнительных услуг отдельным категориям граждан и семьям с детьми"</t>
  </si>
  <si>
    <t>Доля граждан в возрасте 6-15 лет, занимающихся в спортивных учреждениях, в общей численности детей и молодежи в возрасте 6-15 лет</t>
  </si>
  <si>
    <r>
      <t xml:space="preserve">Компенсация отдельным категориям граждан оплаты взноса на капитальный ремонт общего имущества в многоквартирном доме </t>
    </r>
  </si>
  <si>
    <t xml:space="preserve">Предоставление гражданам субсидий на оплату ЖКУ </t>
  </si>
  <si>
    <t>Итого по Задаче 3</t>
  </si>
  <si>
    <t>Задача 4 Подпрограммы 1 "Обеспечение доступности социальных услуг для граждан пожилого возраста"</t>
  </si>
  <si>
    <t xml:space="preserve">Реализация переданных государственных полномочий по социальному обслуживанию граждан          </t>
  </si>
  <si>
    <t>Итого по Задаче 4</t>
  </si>
  <si>
    <t xml:space="preserve">Финансовое обеспечение и создание условий для стабильного предоставления мер социальной поддержки льготным категориям граждан (государственные полномочия) </t>
  </si>
  <si>
    <t>Итого по Задаче 5</t>
  </si>
  <si>
    <t>Удельный вес граждан, имеющих детей, которым назначены меры соц.поддержки, в общем числе обратившихся по состоянию на 31.12.2019,2020,2021,2022,2023,2024   (Uмеры). Показатель рассчитывается по формуле  Uмеры = (Ч назн./Ч меры)* 100 %</t>
  </si>
  <si>
    <t>Доля граждан (имеющих детей), обеспеченных мерами социальной поддержки, от общего числа обратившихся за начислением мер социальной поддержки</t>
  </si>
  <si>
    <t xml:space="preserve">Доля  выпускников  МКУСО "Центр помощи детям" устроенных на дальнейшее обучение или на работу  от общего числа выпускников (Д вып.) . </t>
  </si>
  <si>
    <t>Количество детей из малообеспеченных, неблагополучных семей, а также семей, оказавшихся в трудной жизненной ситуации, получающих дошкольное образование</t>
  </si>
  <si>
    <t>Количество ДОО, внедряющих стандарты проекта «Школа Росатома»</t>
  </si>
  <si>
    <t>Количество детей, охваченных дополнительным образованием во Дворце творчества</t>
  </si>
  <si>
    <t>Капитальный ремонт главной канализационной насосной станции. Замена 2 насосов.</t>
  </si>
  <si>
    <t>Капитальный ремонт сетей теплоснабжения на территории МАУ ДОЦ "Орленок", расположенного по адресу: г. Снежинск, Челябинской области, ул. Парковая, д. 32, кор. 1</t>
  </si>
  <si>
    <t>Количество квалифицированных тренеров и тренеров-преподавателей физкультурных организаций, работающих по специальности</t>
  </si>
  <si>
    <t>Всего по Программе 6</t>
  </si>
  <si>
    <t>Всего по Программе 8</t>
  </si>
  <si>
    <t>Всего по Программе 9:</t>
  </si>
  <si>
    <t>Всего по Программе 10</t>
  </si>
  <si>
    <t xml:space="preserve">Всего по Программе 11 </t>
  </si>
  <si>
    <t>Всего по Программе 12</t>
  </si>
  <si>
    <t>Всего по Программе 16</t>
  </si>
  <si>
    <t>Всего по Программе 15</t>
  </si>
  <si>
    <t>Мероприятие не проводилось в связи с ограничительными мерами по предупреждению распространения коронавирусной инфекции CОVID–2019</t>
  </si>
  <si>
    <t>Количество мероприятий, проведенных ко Дню российского предпринимательства (ед.)</t>
  </si>
  <si>
    <t>Подпрограмма 2: Улучшение условий и охраны труда в Снежинском городском округе</t>
  </si>
  <si>
    <t xml:space="preserve">Проведение специальной оценки условий труда в муниципальных учреждениях
</t>
  </si>
  <si>
    <t>3. Муниципальная Программа "Развитие образования в Снежинском городском округе" на 2018 - 2023 гг.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</si>
  <si>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</si>
  <si>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</si>
  <si>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Площадь выполнения работ по ремонту асфальтобетонного покрытия внутриквартальных территорий</t>
  </si>
  <si>
    <t>Протяженность установленных ограждений/количество столбиков</t>
  </si>
  <si>
    <t>Количество установленных малых архитектурных форм</t>
  </si>
  <si>
    <t xml:space="preserve">Организация в пределах своих полномочий повышения качества управления муниципальными финансами </t>
  </si>
  <si>
    <t>Отношение недопоступления местных налогов от представленияместным налоговым законодательством льгот к общему объему начисленных местных налогов (%)</t>
  </si>
  <si>
    <t>&lt; 1</t>
  </si>
  <si>
    <t>Исполнение годового плана по налоговым и неналоговым доходам бюджета Снежинского городского округа (%)</t>
  </si>
  <si>
    <t>Количество устанавливаемых элементов оформления города</t>
  </si>
  <si>
    <t>Количество мемориальных комплексов на обслуживании</t>
  </si>
  <si>
    <t>Площадь мест захоронения</t>
  </si>
  <si>
    <t>Количество тел умерших, подлежащих транспортировке с места смерти</t>
  </si>
  <si>
    <t>Количество гражданских панихид</t>
  </si>
  <si>
    <t>Площадь муниципального жилого фонда, находящегося на содержании</t>
  </si>
  <si>
    <t>Количество аварийно-опасных деревьев, подлежащих вырубке</t>
  </si>
  <si>
    <t>Площадь отводимых лесосек</t>
  </si>
  <si>
    <t>Площадь лесов, подлежащих уходу, лесовосстановлению и лесоразведению</t>
  </si>
  <si>
    <t>Протяженность противопожарных минерализованных полос</t>
  </si>
  <si>
    <t>Сети газоснабжения (1 этап реализации мероприятий по обеспечению инженерными сетями газоснабжения перспективной застройки микрорайонов 22, 23) г.Снежинска</t>
  </si>
  <si>
    <t>Количество обучающихся в общеобразовательных организациях</t>
  </si>
  <si>
    <t>Обеспеченность учебниками</t>
  </si>
  <si>
    <t>Число граждан, принявших участие в мероприятиях, приуроченных к празднованию 75–й годовщины Победы в Великой Отечественной войне</t>
  </si>
  <si>
    <t>ИТОГО  местный бюджет:</t>
  </si>
  <si>
    <t>УГХ СГО</t>
  </si>
  <si>
    <t>УКиМП</t>
  </si>
  <si>
    <t>Количество проведенных мероприятий, связанных с проектной деятельностью молодежи (грантовые конкурсы, семинары, тренинги, форумы)</t>
  </si>
  <si>
    <t>Количество молодых людей в возрасте от 14 до 30 лет, принявших участие в мероприятиях в сфере образования, интеллектуальной и творческой деятельности проводимых на территории муниципального образования</t>
  </si>
  <si>
    <t>Количество молодых людей в возрасте от 14 до 30 лет, вовлеченных в волонтерскую, добровольческую и поисковую деятельность.</t>
  </si>
  <si>
    <t>Количество молодых людей в возрасте от 14 до 30 лет, охваченных мероприятиями, проводимыми на территории муниципального образования, регистрация которых осуществляется через АИС «Молодёжь России»</t>
  </si>
  <si>
    <t xml:space="preserve">Количество молодёжных форумов, проводимых на территории Снежинского городского округа </t>
  </si>
  <si>
    <t xml:space="preserve">Количество мероприятий, проводимых на территории муниципального образования, регистрация которых осуществляется через АИС «Молодёжь России» </t>
  </si>
  <si>
    <t>ИТОГО ПО НАПРАВЛЕНИЮ 2.1.</t>
  </si>
  <si>
    <t>2.2.3.Финансовое обеспечение мероприятий в сфере молодежной политики</t>
  </si>
  <si>
    <t>Количество досуговых мероприятий для детей, подростков и молодёжи</t>
  </si>
  <si>
    <t>ИТОГО ПО НАПРАВЛЕНИЮ 2.2.</t>
  </si>
  <si>
    <t>3. «Сохранение и развитие культурно-досуговой сферы»</t>
  </si>
  <si>
    <t>3.1.Сохранение нематериального культурного наследия, формирование у граждан устойчивого интереса к культурно-творческим мероприятиям</t>
  </si>
  <si>
    <t>3.1.1.Финансовое обеспечение деятельности учреждений культуры</t>
  </si>
  <si>
    <t xml:space="preserve">3.1.3.Цифровизация услуг и формирование информационного пространства 
в сфере культуры («Цифровая культура»)
</t>
  </si>
  <si>
    <t>Количество созданных виртуальных концертных залов (нарастающим итогом)</t>
  </si>
  <si>
    <t>ИТОГО ПО НАПРАВЛЕНИЮ 3.1</t>
  </si>
  <si>
    <t>3.2.Формирование разноформатного обновляемого библиотечного фонда (комплектование изданиями в традиционном и электронном формате)</t>
  </si>
  <si>
    <t xml:space="preserve">3.2.1.Комплектование книжных фондов муниципальных общедоступных библиотек </t>
  </si>
  <si>
    <t>ИТОГО ПО НАПРАВЛЕНИЮ 3.2.</t>
  </si>
  <si>
    <t xml:space="preserve">5.1 Обеспечение сохранности имущества  и укрепление материально-технической базы учреждений культуры и искусства Снежинского городского округа, улучшение технического состояния зданий учреждений культуры и искусства, развитие инфраструктуры культуры с учетом документов стратегического планирования, а также обеспечение инфраструктурного развития ключевых учреждений культуры </t>
  </si>
  <si>
    <t>5.1.2.Обеспечение ДШИ необходимыми инструментами, оборудованием и материалами</t>
  </si>
  <si>
    <t xml:space="preserve">Количество организаций культуры и искусства, в которых проведены мероприятия по укреплению материально-технической базы </t>
  </si>
  <si>
    <t>5.3.Ремонты объектов культуры и искусства</t>
  </si>
  <si>
    <t xml:space="preserve">Количество учреждений, в которых проведены ремонтные работы </t>
  </si>
  <si>
    <t>ИТОГО ПО НАПРАВЛЕНИЮ 5.3</t>
  </si>
  <si>
    <t>6. «Обеспечение деятельности учреждений культуры»</t>
  </si>
  <si>
    <t>Обеспечение эксплуатационно-технического обслуживания объектов и помещений учреждений культуры, а также содержание указанных объектов и помещений, оборудования и прилегающей территории в надлежащем состоянии</t>
  </si>
  <si>
    <t>23,7</t>
  </si>
  <si>
    <t>ИТОГО ПО НАПРАВЛЕНИЮ 6.1</t>
  </si>
  <si>
    <t xml:space="preserve">2.2.1. Организация трудоустройства несовершеннолетних граждан в возрасте от 14 до 18 лет трудоустроенных на временные рабочие места,  количество несовершеннолетних граждан в возрасте от 14 до 18 лет, трудоустроенных на  временные рабочие места в т.ч.: </t>
  </si>
  <si>
    <t>ИТОГО ПО НАПРАВЛЕНИЮ 5.1.</t>
  </si>
  <si>
    <t>Всего  по Программе 2</t>
  </si>
  <si>
    <t xml:space="preserve">4.  Программа «Развитие физической культуры и спорта в Снежинском городском округе» на 2018-2024 г.г. </t>
  </si>
  <si>
    <t>Охват детей с 3 до 7 лет дошкольным образованием</t>
  </si>
  <si>
    <t>4.1 Обеспечение деятельности МКУ "Управление физической культуры и спорта администрации Снежинского городского округа"</t>
  </si>
  <si>
    <t>Количество подведомственных Управлению учреждений</t>
  </si>
  <si>
    <t xml:space="preserve">Предоставление льгот за присмотр и уход в дошкольных образовательных организациях в соответствии с нормативно-правовыми актами
</t>
  </si>
  <si>
    <t>Выплата единовременной материальной помощи молодым специалистам дошкольных образовательных организаций</t>
  </si>
  <si>
    <t>Установка и дооборудование систем видеонаблюдения</t>
  </si>
  <si>
    <t xml:space="preserve">Выплата единовременной материальной помощи молодым специалистам МОУ и Дворца творчества </t>
  </si>
  <si>
    <t>Оборудование пунктов проведения экзаменов  государственной итоговой аттестации по образовательным программам среднего общего образования</t>
  </si>
  <si>
    <t>Проведение капитальных ремонтов в муниципальных общеобразовательных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</si>
  <si>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учреждениях</t>
  </si>
  <si>
    <t>Доля обучающихся и спортсменов, охваченных тренировочными сборами в каникулярный период времени</t>
  </si>
  <si>
    <t>Площадь эксплуатируемого недвижимого имущества, всего, в т.ч. зданий и прилегающей территории</t>
  </si>
  <si>
    <t>Единовременная пропускная способность спортивных сооружений от нормативного значения</t>
  </si>
  <si>
    <t>Протяженность муниципальных автомобильных дорог общего пользования</t>
  </si>
  <si>
    <t>Доля объема выплаченных сумм на меры соц.поддержки от объема начисленных сумм на меры соц.поддержки по состоянию на 31.12.2019,2020,2021,2022,2023,2024 годов (Dмеры)  Показатель рассчитывается по формуле Dмеры =(Vвыпл. /V начисл.) *100%, где Vвыпл – объем выплаченных сумм на меры соц.поддержки; V начисл. – объем начисленных сумма на меры соцподдержки)</t>
  </si>
  <si>
    <t>заявительный характер выплат</t>
  </si>
  <si>
    <t>Ежемесяная денежная выплата, назначаемая в случае рождения третьего ребенка  и (или) последующих детей до достижения ребенком возраста трех лет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</si>
  <si>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</si>
  <si>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 xml:space="preserve">Дополнительные меры социальной поддержки многодетных семей </t>
  </si>
  <si>
    <t>Задача 2 Подпрограммы 1 "Создание условий для личностного роста детей сирот и детей, оставшихся без попечения родителей, улучшение качества их жизни"</t>
  </si>
  <si>
    <t xml:space="preserve">Обеспечение деятельности МКУСО «Центр помощи детям" </t>
  </si>
  <si>
    <t>Задача 3 Подпрограммы 1"Повышение реальных доходов граждан получающих меры социальной поддержки"</t>
  </si>
  <si>
    <t xml:space="preserve">Ежемесячные денежные выплаты </t>
  </si>
  <si>
    <t xml:space="preserve">Оплата жилищно-коммунальных услуг отдельным категориям граждан </t>
  </si>
  <si>
    <t xml:space="preserve">Выплата социального пособия на погребение </t>
  </si>
  <si>
    <t xml:space="preserve">Меры социальной поддержки гражданам, подвергшимся воздействию радиации </t>
  </si>
  <si>
    <t xml:space="preserve">10. Муниципальная Программа «Комплексное развитие систем коммунальной инфраструктуры Снежинского городского округа» на 2017-2026 гг. </t>
  </si>
  <si>
    <r>
      <t>Количество поддерживаемых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</t>
    </r>
    <r>
      <rPr>
        <sz val="10"/>
        <color indexed="63"/>
        <rFont val="Times New Roman"/>
        <family val="1"/>
      </rPr>
      <t>. (Показатель №5)</t>
    </r>
    <r>
      <rPr>
        <sz val="10"/>
        <rFont val="Times New Roman"/>
        <family val="1"/>
      </rPr>
      <t xml:space="preserve">: </t>
    </r>
  </si>
  <si>
    <r>
      <t>Количество содержащихся помещений ЕДДС г. Снежинска</t>
    </r>
    <r>
      <rPr>
        <sz val="10"/>
        <color indexed="63"/>
        <rFont val="Times New Roman"/>
        <family val="1"/>
      </rPr>
      <t>.(Показатель №15)</t>
    </r>
  </si>
  <si>
    <t>Доходы  от реализованного КУИ города Снежинска  имущества муниципальной  казны</t>
  </si>
  <si>
    <t>Исполнение плана по доходам от реализованного имущества муниципальной казны</t>
  </si>
  <si>
    <t>Прочие налоговые и неналоговые доходы, администрируемые  КУИ города Снежинска (кроме дохода от реализации  имущества  муниципальной казны)</t>
  </si>
  <si>
    <t>Количество земельных участков, поставленных на кадастровый учет КУИ города Снежинска  (в течение года)</t>
  </si>
  <si>
    <t>Индикативный показатель достигнут 100% за счет проведения СОУТ за счет средств полученной экономии по проведению медосмотров работников образовательных учреждений</t>
  </si>
  <si>
    <t>Удельный вес рабочих мест, на которых проведена специальная оценка условий труда в муниципальных учреждениях (в %)</t>
  </si>
  <si>
    <t>Предоставление субсидий автономному учреждению на финансовое обеспечение предоставления государственных и муниципальных услуг на базе многофунк–
ционального центра предоставления государствен–ных и муниципальных услуг в городе Снежинске, в т.ч. на содержание бизнес–инкубатора</t>
  </si>
  <si>
    <t>Количество «окон» приема заявителей (шт.)</t>
  </si>
  <si>
    <t>Количество услуг (ед.)</t>
  </si>
  <si>
    <t>Эксплуатируемая площадь зданий, в т.ч. площадь бизнес–инкубатора (тыс.кв.м)</t>
  </si>
  <si>
    <t>Уровень удовлетворенности качеством предоставления государственных и муниципальных услуг, %</t>
  </si>
  <si>
    <t>Количество цветочной рассады, подлежащей высадке</t>
  </si>
  <si>
    <t>Площадь объектов благоустройства, находящихся на содержании</t>
  </si>
  <si>
    <t>Площадь территорий, подлежащих акарицидной обработке</t>
  </si>
  <si>
    <t>Доля отчисленных с этапов подготовки от общего количества обучающихся и спортсменов в ДЮСШ и СШОР</t>
  </si>
  <si>
    <t>Организация содержания и ремонта муниципального жилищного фонда (МБУ «ОМОС»)</t>
  </si>
  <si>
    <t>Проведение ухода за лесами, осуществление лесовосстановления и лесоразведения  (МКУ «Снежинское лесничество»)</t>
  </si>
  <si>
    <t>УСЗН</t>
  </si>
  <si>
    <t>Соблюдение норматива формирования бюджета Снежинского городского округа на оплату труда выборных должностных лиц, осуществляющих свои полномочия на постоянной основе и муниципальных служащих в соответствии с НПА Правительства Челябинской области</t>
  </si>
  <si>
    <t>Наличие на официальном сайте органов местного самоуправления города Снежинска сведений обязательных для размещения в информационно-телекоммуникационной сети Интернет</t>
  </si>
  <si>
    <t xml:space="preserve">да </t>
  </si>
  <si>
    <t>Просроченная задолженность по долговым обязательствам Снежинского городского округа</t>
  </si>
  <si>
    <t>7. Муниципальная Программа "Развитие образования в Снежинском городском округе" на 2018 - 2023 гг.</t>
  </si>
  <si>
    <t>Итого по программе 8</t>
  </si>
  <si>
    <t>Доля обучающихся, обеспеченных питанием, в общем количестве обучающихся</t>
  </si>
  <si>
    <t>Доля отремонтированных зданий муниципальных общеобразовательных организаций в общем количестве зданий муниципальных общеобразовательных организаций, требующих проведения ремонтов</t>
  </si>
  <si>
    <t>Количество новых мест в ОО</t>
  </si>
  <si>
    <t>Доля спортсменов-разрядников, имеющих разряды и звания (от 1 разряда до спортивного звания «Заслуженный мастер спорта») в общем количестве лиц, занимающихся в системе СШОР и СШ</t>
  </si>
  <si>
    <t>Количество подготовленных спортсменов – КМС, МС</t>
  </si>
  <si>
    <t>Количество тренеров (тренеров-преподавателей), прошедших через систему повышения квалификации</t>
  </si>
  <si>
    <t>Количество воспитанников в дошкольных образовательных организациях</t>
  </si>
  <si>
    <t>Удельный вес численности воспитанников дошкольных образовательных организаций (далее – ДОО), охваченных образовательными программами дошкольного образования, соответствующими требованиям ФГОС ДОО</t>
  </si>
  <si>
    <t>Организация и проведение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</si>
  <si>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Содержание и  ремонт автодорог </t>
  </si>
  <si>
    <r>
      <t xml:space="preserve">Количество разработанных </t>
    </r>
    <r>
      <rPr>
        <sz val="10"/>
        <color indexed="63"/>
        <rFont val="Times New Roman"/>
        <family val="1"/>
      </rPr>
      <t>планов гражданской обороны и защиты населения и действий по предупреждению и ликвидации чрезвычайных ситуаций природного и техногенного характера. (Показатель №1)</t>
    </r>
  </si>
  <si>
    <r>
      <t xml:space="preserve"> - поисково-спасательной службы г. Снежинска</t>
    </r>
    <r>
      <rPr>
        <sz val="10"/>
        <color indexed="63"/>
        <rFont val="Times New Roman"/>
        <family val="1"/>
      </rPr>
      <t>. (Показатель №11)</t>
    </r>
  </si>
  <si>
    <r>
      <t>Количество действующих свидетельств об аттестации аварийно-спасательного формирования</t>
    </r>
    <r>
      <rPr>
        <sz val="10"/>
        <color indexed="63"/>
        <rFont val="Times New Roman"/>
        <family val="1"/>
      </rPr>
      <t>.(Показатель №12)</t>
    </r>
  </si>
  <si>
    <r>
      <t>Количество организованных мероприятий по обеспечению безопасности на воде</t>
    </r>
    <r>
      <rPr>
        <sz val="10"/>
        <color indexed="63"/>
        <rFont val="Times New Roman"/>
        <family val="1"/>
      </rPr>
      <t>.(Показатель №14)</t>
    </r>
    <r>
      <rPr>
        <sz val="10"/>
        <rFont val="Times New Roman"/>
        <family val="1"/>
      </rPr>
      <t>:</t>
    </r>
  </si>
  <si>
    <t xml:space="preserve">Оформление кадастровых паспортов (шт.) </t>
  </si>
  <si>
    <t xml:space="preserve">Многоквартирный жилой дом в г. Снежинске (проектно-изыскательские работы) </t>
  </si>
  <si>
    <t>Остаток средств – 5 111,86 руб. - экономия по результатам выполненных работ.</t>
  </si>
  <si>
    <t>2.1. Создание условий для более полного вовлечения молодежи в социально-экономическую, политическую и культурную жизнь общества, в т.ч.:</t>
  </si>
  <si>
    <t>2.2.Создание условий для организации занятости и досуга детей, подростков и молодежи, в т.ч.:</t>
  </si>
  <si>
    <t>3.1.Сохранение нематериального культурного наследия, формирование у граждан устойчивого интереса к культурно-творческим мероприятиям, в т.ч.:</t>
  </si>
  <si>
    <t>Доля детей и молодежи (возраст 3-29 лет), систематически занимающихся физической культурой и спортом в общей численности детей и молодежи</t>
  </si>
  <si>
    <t>Количество проведенных массовых физкультурных 
и спортивных мероприятий</t>
  </si>
  <si>
    <t>Количество участников физкультурно-оздоровительных 
и спортивно-массовых мероприятий</t>
  </si>
  <si>
    <t>Доля граждан, выполняющих нормы ВФСК «ГТО», в общей численности населения, принявшего участие 
в выполнении нормативов ГТО</t>
  </si>
  <si>
    <t xml:space="preserve">Доля лиц с ограниченными возможностями здоровья, занимающихся физической культурой и спортом, в общей численности данной категории населения в Снежинском городском округе
в общей численности данной категории населения в Снежинском  городском округе
</t>
  </si>
  <si>
    <t>Количество победителей и призеров областных, всероссийских и международных соревнований, из числа лиц, занимающихся в спортивных организациях Снежинского городского округа.</t>
  </si>
  <si>
    <t>Единовременная пропускная способность спортивных объектов, введенных в эксплуатацию (новых, после капитального ремонта или реконструкции)</t>
  </si>
  <si>
    <t xml:space="preserve">1.4 Пропаганда физической культуры, массового спорта и здорового образа жизни </t>
  </si>
  <si>
    <t>2.5 Обеспечение выступления команды "Сунгуль" в чемпионате России по гандболу</t>
  </si>
  <si>
    <t xml:space="preserve">Подпрограмма 3. Развитие спортивной инфраструктуры. </t>
  </si>
  <si>
    <t>3.5 Адаптация спортивных сооружений для инвалидов и других МГН (маломобильные группы населения) и приобретение специального оборудования</t>
  </si>
  <si>
    <t>Итого по Программе 4</t>
  </si>
  <si>
    <t xml:space="preserve">4. Муниципальная Программа «Развитие физической культуры и спорта в Снежинском городском округе» на 2018-2024 г.г. </t>
  </si>
  <si>
    <t xml:space="preserve">Загруженность спортивных сооружений подведомственных Управлению учреждений от нормативного значения
</t>
  </si>
  <si>
    <t>11. Муниципальная Программа "Комплексное развитие транспортной инфраструктуры в Снежинском городском округе" на 2016-2026 гг.</t>
  </si>
  <si>
    <t>15. Муниципальная Программа "Управление муниципальными финансами и муниципальным долгом Снежинского городского округа" на 2018-2023 гг.</t>
  </si>
  <si>
    <t>Обеспечение необходимыми услугами и материалами сотрудников МКУ "УГХ СГО", %</t>
  </si>
  <si>
    <t>Подпрограмма 1 "Содержание инфраструктуры городского хозяйства"</t>
  </si>
  <si>
    <t>Доля общеобразовательных учреждений и учреждений дополнительного образования, оснащенных системой управления контроля доступом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</si>
  <si>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-  службы  Снежинского городского звена Челябинской областной подсистемы единой государственной системы предупреждения и ликвидации чрезвычайных ситуаций;</t>
  </si>
  <si>
    <t>Индекс прироста нагрузки на водоснабжение (%)</t>
  </si>
  <si>
    <t>Перебои в снабжении потребителей (час/чел)</t>
  </si>
  <si>
    <t>Продолжительность оказания услуги (часов в сутки)</t>
  </si>
  <si>
    <t>Удельный вес проб воды у потребителя, которые не отвечают гигиеническим нормативам по санитарно-химическим показателям (%)</t>
  </si>
  <si>
    <t>Удельный вес проб воды у потребителя, которые не отвечают гигиеническим нормативам по микробиологическим  показателям (%)</t>
  </si>
  <si>
    <t>Уменьшение количества аварий и повреждений в системе водоснабжения (шт./км)</t>
  </si>
  <si>
    <t>Протяженность сетей водоснабжения, нуждающихся в замене (км)</t>
  </si>
  <si>
    <t>Удельный вес сетей водоснабжения, нуждающихся в замене (%)</t>
  </si>
  <si>
    <t>Уменьшение потерь воды в сети системы водоснабжения (%)</t>
  </si>
  <si>
    <t>Коэффициент потерьв сети системы водоснабжения  (м3/км)</t>
  </si>
  <si>
    <t>Уменьшение удельного расхода электроэнергии в системе водоснабжения (кВтч/м3)</t>
  </si>
  <si>
    <t>Удельное водопотребление (м3/чел.)</t>
  </si>
  <si>
    <t>Доля потребителей в жилых домах с газовыми плитами и индивидуальными газовыми установками, обеспеченных доступом к коммунальной услуге (%)</t>
  </si>
  <si>
    <t>Объем реализации товаров и услуг (тыс. м3)</t>
  </si>
  <si>
    <t>Нагрузка на газоснабжение (тыс. м3/сут)</t>
  </si>
  <si>
    <t>Прирост нагрузки на газоснабжение (тыс. м3/сут)</t>
  </si>
  <si>
    <t>Индекс прироста нагрузки на газоснабжение (%)</t>
  </si>
  <si>
    <t>Перебои в оказании услуги потребителям (час/чел)</t>
  </si>
  <si>
    <t>Продолжительность оказания услуги (час в сутки)</t>
  </si>
  <si>
    <t>Уменьшение количества аварий и повреждений в системе газоснабжения (шт/км)</t>
  </si>
  <si>
    <t>Потери газа при транспортировке (%)</t>
  </si>
  <si>
    <t>Удельный расход газа в МКД (м3/чел)</t>
  </si>
  <si>
    <t>Количество предоставленных субсидий садоводческим некоммерческим товариществам (объединениям) граждан в Снежинском городском округе</t>
  </si>
  <si>
    <t>Итого по Программе 10</t>
  </si>
  <si>
    <t>Предоставление субсидий на иные цели муниципальным бюджетным (автономным) учреждениям –образовательным организациям на проведение капитального ремонта зданий и сооружений муниципальных организаций дошкольного образования</t>
  </si>
  <si>
    <t>Предоставление субсидии на приобретение дошкольными образовательными организациями средств защиты для обеспечения санитарно-эпидемиологической безопасности</t>
  </si>
  <si>
    <t>Выплата стипендий, денежного поощрения (премии)</t>
  </si>
  <si>
    <t>Приобретение оборудования и мебели для общеобразовательных учреждений и Дворца творчества</t>
  </si>
  <si>
    <t>Предоставление субсидий на иные цели муниципальным бюджетным (автономным) учреждениям –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</si>
  <si>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>Предоставление субсидий на иные цели муниципальным бюджетным (автономным) учреждениям –организациям дополнительного образования на проведение капитального ремонта зданий и соружений муниципальных организаций дополнительного образования</t>
  </si>
  <si>
    <t>Предоставление субсидии на приобретение оборудования для пищеблоков муниципальных образовательных организаций, реализующих программы начального общего образования</t>
  </si>
  <si>
    <t>Предоставление субсидии на приобретение общеобразовательными организациями и организациями дополнительного образования 
средств защиты для обеспечения санитарно-эпидемиологической безопасности</t>
  </si>
  <si>
    <t>в целях недопущения распространения COVID-19</t>
  </si>
  <si>
    <t>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</si>
  <si>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Предоставление субсидии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</si>
  <si>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Льгота суммы родительской платы за путевки в загородные лагеря и лагеря с дневным пребыванием для детей, находящихся в трудной жизненной ситуации</t>
  </si>
  <si>
    <t>Недофинансирование по расходам на страховые взносы</t>
  </si>
  <si>
    <t>Финансовое обеспечение деятельности МКУ ЦОДОУ</t>
  </si>
  <si>
    <t>Недофинансирование по расходам на страховые взносы;
Фактические расходы</t>
  </si>
  <si>
    <t>сокращение контингента в ДОУ</t>
  </si>
  <si>
    <t>Количество получателей льгот за присмотр и уход в дошкольных образовательных организациях</t>
  </si>
  <si>
    <t>проведена дополнительная комиссия по рассмотрению заявлений</t>
  </si>
  <si>
    <t>Доля капитально отремонтированных зданий и сооружений муниципальных дошкольных образовательных организаций в общем количестве зданий и сооружений муниципальных дошкольных образовательных организаций, требующих проведение капитальных ремонтов</t>
  </si>
  <si>
    <t>рост числа обучающихся</t>
  </si>
  <si>
    <t>открыты новые объединия дополнительного образования</t>
  </si>
  <si>
    <t>исключение спортивных школ</t>
  </si>
  <si>
    <t>Количество обучающихся, получивших стипендии, денежное поощрение</t>
  </si>
  <si>
    <t>за счет регионального проекта "Цифровая экономика" поставлено оборудование в МБОУ СОШ №№ 117 и 121</t>
  </si>
  <si>
    <t>Количество оконных блоков, замененных в рамках проведения ремонтных работ по замене оконных блоков в муниципальных общеобразовательных организациях</t>
  </si>
  <si>
    <t>ввиду экономии от аукциона поставили еще 4 окна</t>
  </si>
  <si>
    <t>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 муниципальных общеобразовательных организациях</t>
  </si>
  <si>
    <t>Количество образовательных организаций, реализующих программы начального образования, в которых пищеблоки переоборудованы для соответствия санитарным нормам</t>
  </si>
  <si>
    <t>Доля зданий образовательных организаций, реализующих программы начального общего, основного общего, среднего общего образования, а также дополнительные общеобразовательные программы, обеспеченных средствами защиты для обеспечения санитарно- эпидемиологической безопасности</t>
  </si>
  <si>
    <t>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</t>
  </si>
  <si>
    <t>результат пропаганды здорового образа жизни</t>
  </si>
  <si>
    <t>Доля детей из малообеспеченных семей и детей с нарушениями здоровья, обучающихся в муниципальных общеобразовательных организациях, обеспеченных питанием, в общем количестве обучающихся из малообеспеченных семей и детей с нарушениями здоровья</t>
  </si>
  <si>
    <t>результат профилактической работы о важности горячего питания</t>
  </si>
  <si>
    <t>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общеобразовательных организаций по программам начального общего образования</t>
  </si>
  <si>
    <t>отказ родителей (письменное заявление)</t>
  </si>
  <si>
    <t>Численность детей школьного возраста, охваченных отдыхом и оздоровлением в ЛДПД, 
в т.ч.: Управление образования</t>
  </si>
  <si>
    <t>Численность детей школьного возраста, охваченных отдыхом и оздоровлением в загородных лагерях</t>
  </si>
  <si>
    <t>увеличение численности получателей, в т.ч. за счет перевода детей из коррекционных школ (2 случая)</t>
  </si>
  <si>
    <t xml:space="preserve">очные конкурсы профессионального мастерства в 2020г. не проводились </t>
  </si>
  <si>
    <t>Итого по Программе 7.</t>
  </si>
  <si>
    <t>Увеличение количества оказываемых услуг в перечне государственных и муниципальных услуг</t>
  </si>
  <si>
    <t>18. Муниципальная Программа «Развитие информационного общества в Снежинском городском округе» на 2019 – 2030 гг.</t>
  </si>
  <si>
    <t>Итого по Программе 18</t>
  </si>
  <si>
    <t>19. Муниципальная программа "Подготовка и проведение мероприятий, посвященных 75-й годовщине Победы в Великой Отечественной войне 1941-1945 гг." на 2019-2020 гг.</t>
  </si>
  <si>
    <t>Итого по Программе 19:</t>
  </si>
  <si>
    <t>5. Муниципальная Программа «Совершенствование системы управления, поддержка малого и среднего предпринимательства в Снежинском городском округе» на 2020 – 2026 гг.,</t>
  </si>
  <si>
    <t>Итого по подпрограмме 1</t>
  </si>
  <si>
    <t xml:space="preserve">Доля спортивных сооружений, обеспеченных системой видеонаблюдения </t>
  </si>
  <si>
    <t>Подпрограмма 2 "Подготовка спортивного резерва и успешное выступление Снежинских  спортсменов  на соревнованиях различного уровня"</t>
  </si>
  <si>
    <t xml:space="preserve">2.5 Обеспечение выступления команды "Сунгуль" в чемпионате России по гандболу </t>
  </si>
  <si>
    <t>2.6 Содержание имущества, находящегося в муниципальной собственности</t>
  </si>
  <si>
    <t>Соотношение количества массовых спортивных разрядов, присвоенных учащимся и спортсменам СШ и СШОР, к общему количеству занимающихся</t>
  </si>
  <si>
    <t>Доля спортсменов-разрядников в общем количестве лиц, занимающихся в системе СШОР и СШ</t>
  </si>
  <si>
    <t>Стимулирование (поощрение) граждан и членов общественного формирования правоохранительной направленности, оказывающих содействие органам внутренних дел в охране общественного порядка и борьбы   с преступностью,               а также обеспечение форменным обмундированием, удостоверениями и т.д.)</t>
  </si>
  <si>
    <t>Экономия от проведения конкурсных процедур при обретении форменного обмундирования</t>
  </si>
  <si>
    <t>1.1.Организация и проведение  физкультурных и массовых спортивных мероприятий, включенных в единый календарный план физкультурных и спортивных мероприятий</t>
  </si>
  <si>
    <t>1.2.Организация и проведение физультурных и спортивных мероприятий в рамках Всероссийского физкультурно-спортивного комплекса "Готов к труду и обороне" (ГТО)</t>
  </si>
  <si>
    <t>1.3.Содержание спортивных объектов и материально-техническое обеспечение</t>
  </si>
  <si>
    <t>Доля учащихся общеобразовательных учреждений, обучающихся в первую смену, в общей численности учащихся</t>
  </si>
  <si>
    <t>2.2.2.Организация деятельности трудовых объединений (УО)</t>
  </si>
  <si>
    <t xml:space="preserve">3.1.3. Цифровизация услуг и формирование информацион-ного пространства 
в сфере культуры («Цифровая культура»)
</t>
  </si>
  <si>
    <t>Количество муниципальных служащих, принявших участие в семинарах (конференциях), в т.ч.:</t>
  </si>
  <si>
    <t>Администрация</t>
  </si>
  <si>
    <t>Количество муниципальных служащих, прошедших повышение квалификации, в т.ч.:</t>
  </si>
  <si>
    <t>КСП</t>
  </si>
  <si>
    <t>Проведение диспансерезации муниципальных служащих, в т.ч.:</t>
  </si>
  <si>
    <t>Доля муниципальных служащих, прошедших повышение квалификации и переподготовку в процентах от общешо количества служащих</t>
  </si>
  <si>
    <t>Степень соответствия нормативной правовой базы по вопросам муниципальной службы законодательству Российской Федерации и Челябинской области, в процентах от общего количества принятых правовых актов по вопросам муниципальной службы, %</t>
  </si>
  <si>
    <t>Доля муниципальных служащих, прошедших диспанцеризацию от общешо количества служащих</t>
  </si>
  <si>
    <t>Экономия за счет дистанционного обучения в период пандемии короновируса</t>
  </si>
  <si>
    <t>Итого по Программе 3</t>
  </si>
  <si>
    <t>Доля  земельных участков под объектами недвижимого  имущества, находящихся в муниципальной  собственности, прошедших государственную  регистрацию права собственности, в общем количестве  земельных участков, право собственности на которые подлежит государственной регистрации</t>
  </si>
  <si>
    <t>Подпрограмма 3 "Повышение качества предоставляемых услуг в Снежинском городском округе"</t>
  </si>
  <si>
    <t>Фактически сложившаяся экномия по результатам закупочных процедур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</si>
  <si>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</si>
  <si>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Удельный вес граждан, получивших соц.услуги в учреждениях соц. обслуживания, от общего числа граждан, обратившихся за получением соц.услуг в учреждения соц.обслуживания  </t>
  </si>
  <si>
    <t xml:space="preserve">Отношение средней заработной платы отдельных категорий работников подведомственных учреждений  (социальных работников, педагогического и медицинского персонала) до уровня среднемесячного дохода от трудовой деятельности по Челябинской области О соц  </t>
  </si>
  <si>
    <t xml:space="preserve">Доля жалоб на действия (бездействие) должностных лиц в процессе предоставления государственных и муниципальных услуг, признанных в установленном порядке обоснованными   Показатель рассчитывается по формуле: D1= (Ч жалоб обоснованных/Ч общее число жалоб)* </t>
  </si>
  <si>
    <t>не более 0,1</t>
  </si>
  <si>
    <t>Количество актуализированных Схем водоснабжения и водоотведения муниципального образования «Город Снежинск» на период с 2014г. по 2030г.</t>
  </si>
  <si>
    <t>Исполнение плана поступлений  налоговых и неналоговых  доходов (кроме поступлений  от реализации  имущества)</t>
  </si>
  <si>
    <t>Количество договоров аренды земельных участков, заключенных силами  сотрудников  КУИ города Снежинска (за исключением  расторгнутых, прекращенных)</t>
  </si>
  <si>
    <t>Количество действующих договоров аренды и безвозмездного пользования муниципальным имуществом, заключенных КУИ города Снежинска</t>
  </si>
  <si>
    <t>6. Муниципальная Программа "Содержание городского хозяйства в Снежинском городском округе" на 2019 - 2024 гг.</t>
  </si>
  <si>
    <t>7. Муниципальная Программа "Управление муниципальным имуществом и земельными ресурсами Снежинского городского округа" на 2019-2024 гг.</t>
  </si>
  <si>
    <t>Количество объектов  муниципальной  казны, не участвующих в хозяйственном  обороте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</si>
  <si>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</si>
  <si>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>Управление культуры</t>
  </si>
  <si>
    <t>Количество публикаций в средствах массовой информации о реализуемых мероприятиях в сфере молодежной политики</t>
  </si>
  <si>
    <t>Объем библиотечного фонда</t>
  </si>
  <si>
    <t>Итого по Программе 7</t>
  </si>
  <si>
    <t xml:space="preserve">9.  Муниципальная Программа «Формирование современной городской среды Снежинского городского округа» на 2018 - 2024 годы </t>
  </si>
  <si>
    <t>Недофинансирование в конце года</t>
  </si>
  <si>
    <t>Задача 6. Проведение подготовки и обучения населения в области гражданской обороны, а также способам защиты и действиям при чрезвычайных ситуациях.</t>
  </si>
  <si>
    <t>Количество утвержденных реестров обеспечения повышения квалификации должностных лиц и работников гражданской обороны муниципального образования в образовательных учреждениях дополнительного профессионального образования. (Показатель №9)</t>
  </si>
  <si>
    <t>Задача 7. 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округа.</t>
  </si>
  <si>
    <t>Количество созданных, оснащённых и подготовленных в области гражданской обороны:</t>
  </si>
  <si>
    <t>- объектовых аварийно-спасательных формирований;</t>
  </si>
  <si>
    <t>досрочное погашение кредитов</t>
  </si>
  <si>
    <t>средства социальной выплаты использовались на погашение ипотечного кредита; к моменту использования соц. выплаты размер остатка по ипотечному кредиту был меньше размера социальной выплаты</t>
  </si>
  <si>
    <t>уровень обеспеченности муниципального образования контейнерным сбором ТКО</t>
  </si>
  <si>
    <t>уровень обустройства контейнерных площадок</t>
  </si>
  <si>
    <t>13. Муниципальная программа "Управление муниципальным имуществом и земельными ресурсами Снежинского городского округа" на 2019-2024гг.</t>
  </si>
  <si>
    <t>1.1. Организация проведения оценки муниципального имущества с целью приватизации, передачи в аренду</t>
  </si>
  <si>
    <t>Экономия в результате размещения муниципального заказа (по аукционам)</t>
  </si>
  <si>
    <t>2.1. Организация и проведение технической инвентаризации и паспортизации муниципального имущества</t>
  </si>
  <si>
    <t>2.2. Организация проведения оценки муниципального имущества с целью принятия к учету</t>
  </si>
  <si>
    <t>2.3. Организация проведения кадастровых работ по формированию земельных участков и проведения работ по писанию местоположения  территориальных зон</t>
  </si>
  <si>
    <t>Соблюдение установленных сроков утверждениясводной бюджетной росписи бюджета Снежинского городского округа на очередной финансовый год (соблюдение)</t>
  </si>
  <si>
    <t>Превышение кассовых выплат над лимитами бюджетных обязательств</t>
  </si>
  <si>
    <t>нет</t>
  </si>
  <si>
    <t>Доля граждан среднего возраста (женщины: 30-54 года; мужчины: 30-59 лет), систематически занимающихся физической культурой и спортом в общей численности граждан среднего возраста</t>
  </si>
  <si>
    <t>Доля граждан старшего возраста (женщины: 55-79 года; мужчины: 60-79 лет), систематически занимающихся физической культурой и спортом в общей численности граждан старшего возраста</t>
  </si>
  <si>
    <t>Проведение профилактических мероприятий в Учреждениях</t>
  </si>
  <si>
    <t>Количество случаев травматизма, связанных с профессиональной деятельностью</t>
  </si>
  <si>
    <t>ограничения, в целях недопущения распространения COVID-19</t>
  </si>
  <si>
    <t>ограничения, в целях недопущения распространения COVID-20</t>
  </si>
  <si>
    <t>при корректировке бюджета не в полном объеме учтены изменения произведенные в бюджетной росписи</t>
  </si>
  <si>
    <t>экономия по результатам выполненных работ на объекте</t>
  </si>
  <si>
    <t>Экономия от проведения торгов</t>
  </si>
  <si>
    <t>Доля протяженности автомобильных дорог общего пользования местного значения, не отвечающих нормативным требованиям</t>
  </si>
  <si>
    <t>По результатам проверки эксплуатационного состояния улично-дорожной сети (имеются акты проверки)</t>
  </si>
  <si>
    <t>4) 2 200,00 руб.  возмещение  отдельным категориям граждан за оформление прав на земельные участки, предоставленные до введения в действие Земельного кодекса РФ до 25.10.2001. В 2020г. заявления  от граждан  не поступали.                             
5) 1 140,00 руб. по расходам   на  внесение изменений в лицевые счета акционера, за выдачу справок, услуги оплачиваются  по факту,  отсутствие  потребности в данном расходе;
6) 461,39 рублей (взносы  на капитальный ремонт), произведена  частичная  оплата  взносов  в декабре 2020 года за декабрь 2020 года.</t>
  </si>
  <si>
    <t xml:space="preserve"> 1)  322 610,64 руб. по расходам на коммунальные услуги  (содержание пустующих помещений муниципальной казны), оплата  работ «по факту» на основании актов  выполненных работ; 
2) 39 318,33 руб. по расходам на управление МКД по муниципальному  имуществу (пустующие  помещения), оплата  работ «по факту» на основании актов  выполненных работ; 
3) 5 340,00 руб. по расходам за перечисление  денежных средств, поступивших  от нанимателей  муниципального имущества  (поставщик услуг АО «Трансэнерго»), услуги оплачиваются  по факту</t>
  </si>
  <si>
    <t>Расчет и оплата % за пользование кредитными средствами производились на основании фактических сроков и объемов использования предоставленных кредитов</t>
  </si>
  <si>
    <t>Создание и содержание мест (площадок) накопления ТКО</t>
  </si>
  <si>
    <t xml:space="preserve">Оформление территории городского округа/Количество мероприятий по художественному оформлению города, 
в том числе:
</t>
  </si>
  <si>
    <t>Организация и проведение мероприятий, приуроченных к празднованию 75–й годовщины Победы в Великой Отечественной войне/Количество мероприятий, в т.ч.:</t>
  </si>
  <si>
    <t xml:space="preserve">средства по субсидии на иные цели возмещены учреждением в соответствии с актом проверки </t>
  </si>
  <si>
    <t>Ремонт нерегулируемых пешеходных переходов, с применением типовых схем организации дорожного движения в непосредственной близости от общеобразовательного учреждения</t>
  </si>
  <si>
    <t>Количество пешеходных переходов, с применением типовых схем организации дорожного движения в непосредственной близости от общеобразовательного учреждения</t>
  </si>
  <si>
    <t xml:space="preserve"> Экономия в результате  конкурсных  процедур</t>
  </si>
  <si>
    <t>Количество проведенных физкультурно-спортивных мероприятий  и соревнований по видам спорта</t>
  </si>
  <si>
    <t xml:space="preserve">Количество участников физкультурно-оздоровительных и спортивно-массовых мероприятий
</t>
  </si>
  <si>
    <t>Доля граждан, выполняющих нормы ВФСК «ГТО», в общей численности населения, принявшего участие в выполнении нормативов ГТО</t>
  </si>
  <si>
    <t xml:space="preserve">Доля лиц с ограниченными возможностями здоровья, занимающихся физической культурой и спортом, в общей численности данной категории населения в Снежинском городском округебщей численности данной категории населения в Снежинском  городском округе
</t>
  </si>
  <si>
    <t>Доля пунктов проведения государственной итоговой аттестации в форме единого государственного экзамена, оборудованных системой видеонаблюдения в режиме онлайн</t>
  </si>
  <si>
    <t>&gt;=95</t>
  </si>
  <si>
    <t>Направление 1. Исполнение плана по поступлениям от использования муниципального имущества и земельных участков, реализации  муниципального имущества</t>
  </si>
  <si>
    <t>Количество объектов наружного пожарного водоснабжения муниципального образования подлежащих учету и контролю.(Показатель №7):</t>
  </si>
  <si>
    <t>- пожарных гидрантов;</t>
  </si>
  <si>
    <t>- пожарных водоемов;</t>
  </si>
  <si>
    <t>- пожарных пирсов</t>
  </si>
  <si>
    <t>Количество оперативных групп, организующих патрулирование территории муниципального образования в условиях устойчивой сухой, жаркой и ветреной погоды или при получении штормового предупреждения по утвержденным маршрутам.(Показатель №8):</t>
  </si>
  <si>
    <t>- патрульных групп;</t>
  </si>
  <si>
    <t>-патрульно-маневренных групп;</t>
  </si>
  <si>
    <t>- маневренных групп;</t>
  </si>
  <si>
    <t>- патрульно-контрольных групп</t>
  </si>
  <si>
    <t>Не в полном объеме профинансированы налоги с ФОТ, сформировалась кредиторская задолженность</t>
  </si>
  <si>
    <t xml:space="preserve"> при корректировке бюджета не полном объеме учтены изменения по МБТ(- 506 870 руб.), с учетом изменений исполнение составило 100%</t>
  </si>
  <si>
    <t>Выплаты осуществляются через Министерство социальных отношений Челябинской области</t>
  </si>
  <si>
    <t xml:space="preserve"> при корректировке бюджета не полном объеме учтены изменения по МБТ (- 2 200 000 руб.), с учетом изменений исполнение составило 97,3%</t>
  </si>
  <si>
    <t xml:space="preserve"> при корректировке бюджета не полном объеме учтены изменения по МБТ(+16 000 руб.), с учетом изменений исполнение составило 100%</t>
  </si>
  <si>
    <t xml:space="preserve"> при корректировке бюджета не полном объеме учтены изменения по МБТ(+243 650руб.), с учетом изменений исполнение составило 100%</t>
  </si>
  <si>
    <t xml:space="preserve"> при корректировке бюджета не полном объеме учтены изменения по МБТ(- 307 000,00 руб.), с учетом изменений исполнение составило 99,9%</t>
  </si>
  <si>
    <t>расходы произведены с учетом факта</t>
  </si>
  <si>
    <t xml:space="preserve"> при корректировке бюджета не полном объеме учтены изменения по МБТ(- 3 000 000 руб.), с учетом изменений исполнение составило 96,7%</t>
  </si>
  <si>
    <t xml:space="preserve">Выплаты инвалидам компенсаций страховых премий по договорам ОСАГО владельцев транспортных средств </t>
  </si>
  <si>
    <t xml:space="preserve"> при корректировке бюджета не полном объеме учтены изменения по МБТ(- 255 000 руб.), с учетом изменений исполнение составило 92%</t>
  </si>
  <si>
    <t xml:space="preserve"> при корректировке бюджета не полном объеме учтены изменения по МБТ(+ 90 000 руб.), с учетом изменений исполнение составило 100%</t>
  </si>
  <si>
    <t>Задача 5 Подпрограммы 1"Обсепчение предоставления мер социальной поддержки льготным категриям граждан(государственные полномочия) - выполнение административных функций.</t>
  </si>
  <si>
    <t xml:space="preserve"> при корректировке бюджета не полном объеме учтены изменения по МБТ(+1 555 830 руб..), с учетом изменений исполнение составило 99,9%</t>
  </si>
  <si>
    <t>Всего по муниципальной программе за счет средств областного и федерального бюджета</t>
  </si>
  <si>
    <t>Количество отремонтированных автобусных павильонов</t>
  </si>
  <si>
    <t xml:space="preserve">Без учета кредиторской задолженности за декабрь 2020 </t>
  </si>
  <si>
    <t xml:space="preserve">Количество деревьев, подлежащих формовочной обрезке </t>
  </si>
  <si>
    <t>Коэффициент потерь в сети системы водоснабжения  (м3/км)</t>
  </si>
  <si>
    <t>6.1 Финансовое обеспечение деятельности МБУ "ЦОДУК"</t>
  </si>
  <si>
    <t>Компенсация расходов на оплату жилых помещений и коммунальных услуг (дополнительные меры социальной защиты ветеранов Челябинской области, сельские педагоги)</t>
  </si>
  <si>
    <t>Ежегодная денежная выплата лицам, награжденным нагрудным знаком «Почетный донор»</t>
  </si>
  <si>
    <t>Подрограмма 1 "Содержание инфраструктуры городского хозяйства"</t>
  </si>
  <si>
    <t>Организация регулярных пассажирских перевозок населения городским транспортом общего пользования по регулируемым тарифам на внутримуниципальных маршрутах</t>
  </si>
  <si>
    <t>Владение, пользование и распоряжение имуществом, находящимся в муниципальной собственности</t>
  </si>
  <si>
    <t>Организация освещения улиц</t>
  </si>
  <si>
    <t>Уходные работы за насаждениями</t>
  </si>
  <si>
    <t>Содержание, текущий ремонт объектов внешнего благоустройства</t>
  </si>
  <si>
    <t>Итого по подпрограмме 1:</t>
  </si>
  <si>
    <t>Направление 2. Совершенствование системы учета муниципального имущества, земельных участков и контроля за их использованием.</t>
  </si>
  <si>
    <t>Итого по подпрограмме 2</t>
  </si>
  <si>
    <t>Протяженность обслуживаемой улично-дорожной сети</t>
  </si>
  <si>
    <t>Количество обслуживаемых светофорных объектов</t>
  </si>
  <si>
    <t>Протяженность обслуживаемых линий наружного освещения</t>
  </si>
  <si>
    <t>Протяженность обслуживаемых водопроводных сетей</t>
  </si>
  <si>
    <t>Площадь обслуживаемых помещений</t>
  </si>
  <si>
    <t>Площадь газонов на содержании</t>
  </si>
  <si>
    <t>Количество деревьев, подлежащих формовочной обрезке</t>
  </si>
  <si>
    <t>Выплата денежного вознаграждения педагогическим коллективам образовательных организаций, реализующих образовательные программы начального общего, основного общего и (или) среднего общего образования, – победителям конкурсного отбора проектов, связанных с инновациями в образовании</t>
  </si>
  <si>
    <t>Доля выполненных ремонтов в зданиях муниципальных организациях дополнительного образования в общем количестве зданий муниципальных организациях дополнительного образования, запланированных к проведению ремонта в текущем году</t>
  </si>
  <si>
    <t>Доля отремонтированных зданий муниципальных организаций дополнительного образования в общем количестве зданий муниципальных организаций дополнительного образования, требующих проведения ремонтов</t>
  </si>
  <si>
    <t>Доля детей, охваченных отдыхом в каникулярное время в организациях отдыха и оздоровления детей, в общем числе детей Челябинской области, охваченных отдыхом в организациях отдыха детей и их оздоровления всех типов</t>
  </si>
  <si>
    <t>Доля несовершеннолетних, охваченных профильными сменами, в общем числе детей, охваченных отдыхом в организациях отдыха детей и их оздоровления всех типов</t>
  </si>
  <si>
    <t xml:space="preserve">Предоставление финансовой  поддержки СОНКО в форме субсидий </t>
  </si>
  <si>
    <t>Итого по Задаче 2</t>
  </si>
  <si>
    <t>Удельный вес семей находящихся в социально-опасном положении, снятых с учета в связи с улучшением ситуации в семье от общего количества семей, состоящих на учете как семьи, находящиеся в социально опасном положении</t>
  </si>
  <si>
    <t>Доля финансовых средств, освоенных в ходе реализации Программы. Показатель рассчитывается по формуле:   D2= (Ф освоено/Ф выделено)*100%, где Ф освоено - объем  освоенных средств на предоставление мер социальной поддержки льготным категориям граждан; Ф выделено - объем средств, выделенных на предоставление мер социальной поддержки льготным категориям граждан</t>
  </si>
  <si>
    <t>Доля образовательных учреждений, внедривших информационную систему, содержащую данные о контингенте обучающихся, в общем количестве образовательных учреждений</t>
  </si>
  <si>
    <t>Компенсация затрат родителям детей-инвалидов, обучающих детей-инвалидов на дому самостоятельно</t>
  </si>
  <si>
    <t>Оказание услуг по присмотру и уходу за детьми в ДОУ, содержание зданий муниципальных дошкольных образовательных организаций</t>
  </si>
  <si>
    <t>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организации, через предоставление компенсации части родительской платы</t>
  </si>
  <si>
    <t>Приобретение технологического, компьютерного, медицинского и другого оборудования для дошкольных образовательных организаций</t>
  </si>
  <si>
    <t>Проведение текущих ремонтов и противопожарных мероприятий</t>
  </si>
  <si>
    <t>Создание современной образовательной среды в соответствии с сетевыми стандартами проекта "Школа Росатома"</t>
  </si>
  <si>
    <t xml:space="preserve">Итого по  направлению 1 </t>
  </si>
  <si>
    <t>-</t>
  </si>
  <si>
    <t>Расход ЭЭ в системах уличного освещения города, тыс. кВтч</t>
  </si>
  <si>
    <t>Иные целевые показатели</t>
  </si>
  <si>
    <t>Количество актуализированных Схем теплоснабжения ЗАТО г. Снежинск на период с 2013 года по 2027 год</t>
  </si>
  <si>
    <t>Площадь устроенных пешеходных дорожек</t>
  </si>
  <si>
    <t>Количество отремонтированных муниципальных квартир</t>
  </si>
  <si>
    <t>Предоставление субсидии на возмещение затрат на инженерное обеспечение территорий садоводческих, огороднических некоммерческих товариществ (объединений) граждан, расположенных в Снежинском городском округе</t>
  </si>
  <si>
    <t>Строительство  разгрузочного водовода диаметром 600 мм и длиной 2 900 м от колодца 49а насосной станции 2-го подъема до проспекта им. К.И. Щелкина, в т.ч. ПИР</t>
  </si>
  <si>
    <t>Перебои в снабжении потребителей, час/чел</t>
  </si>
  <si>
    <t>Продолжительность оказания услуги, часов в день</t>
  </si>
  <si>
    <t>Уменьшение количества аварий и поврежденийвс системе теплоснабжения (шт./км)</t>
  </si>
  <si>
    <t>Протяженность сетей теплоснабжения, нуждающихся в замене (км)</t>
  </si>
  <si>
    <t>Удельный вес сетей теплоснабжения, нуджающихся в замене (%)</t>
  </si>
  <si>
    <t>Уменьшение потерь тепловой энергии в сети системы теплоснабжения (%)</t>
  </si>
  <si>
    <t>Коэффициент потерь в сети системы теплоснабжения (Гкал/км)</t>
  </si>
  <si>
    <t>Уменьшение удельного расхода электроэнергии в системе теплоснабжения (кВтч/Гкал)</t>
  </si>
  <si>
    <t>Объем реализации товаров и услуг по электроснабжению  (тыс. кВтч)</t>
  </si>
  <si>
    <t>Нагрузка на электроснабжение (тыс. кВтч/сут.)</t>
  </si>
  <si>
    <t>Прирост электрической нагрузки (тыс. кВтч/сут.)</t>
  </si>
  <si>
    <t>Индекс прироста электрической нагрузки (%)</t>
  </si>
  <si>
    <t>Перебои в снабжении электроэнергией потребителей, час/чел</t>
  </si>
  <si>
    <t>Продолжительность оказания услуги, часов в сутки</t>
  </si>
  <si>
    <t>Уменьшение количества аварий и повреждений в системе электроснабжения (шт./км)</t>
  </si>
  <si>
    <t>Уменьшение потерь электрической энергии  в сети системы электроснабжения (%)</t>
  </si>
  <si>
    <t>Удельное электропотребление (кВтч/чел.)</t>
  </si>
  <si>
    <t>Доля потребителей в жилых домах, обеспеченных доступом к коммунальной услуге (%)</t>
  </si>
  <si>
    <t>Индекс нового строительства водопроводных сетей (%)</t>
  </si>
  <si>
    <t>Объем реализации товаров и услуг по водоснабжению (тыс. м3)</t>
  </si>
  <si>
    <t>Нагрузка на водоснабжение (тыс. м3/сут.)</t>
  </si>
  <si>
    <t>Прирост нагрузки на водоснабжение (тыс. м3/сут.)</t>
  </si>
  <si>
    <t>Организация выплаты единовременной материальной (адресной, социальной) помощи отдельным категориям граждан (УСЗН)</t>
  </si>
  <si>
    <t>Проведение восстановительных, ремонтных и реставрационных работ (УГХ)</t>
  </si>
  <si>
    <t>Реконструкция улицы Чуйкова в г. Снежинске Челябинской области</t>
  </si>
  <si>
    <t>Задача 1 Организация и осуществление мероприятий по гражданской обороне, защите населения и территорий городского округа от чрезвычайных ситуаций природного и техногенного характера.</t>
  </si>
  <si>
    <t>3. Подрограмма  «Сохранение и развитие культурно-досуговой сферы»</t>
  </si>
  <si>
    <t xml:space="preserve">2. Подпрограмма «Реализация молодежной политики» </t>
  </si>
  <si>
    <t xml:space="preserve">5. «Укрепление материально–технической базы учреждений культуры и искусства» </t>
  </si>
  <si>
    <t>доля расходов по Программе 7 в общем объеме полученных средств</t>
  </si>
  <si>
    <t>Строительство улицы №12 (установка светофора на перекрестке улица Чуйкова - улица №12)</t>
  </si>
  <si>
    <t>Работы не выполнялись, в связи с несоответствием проекта концепции развития города. Данное строительство будет перепроектировано.</t>
  </si>
  <si>
    <t>Количество построенных объектов дорожно-транспортной инфраструктуры</t>
  </si>
  <si>
    <t>дефицит отсутствует</t>
  </si>
  <si>
    <t>6. Муниципальная Программа "Развитие муниципальной службы Снежинского городского округа" на 2019 - 2024 гг.</t>
  </si>
  <si>
    <t>Показатели</t>
  </si>
  <si>
    <t>план</t>
  </si>
  <si>
    <t>факт</t>
  </si>
  <si>
    <t>отклонение (+,-)</t>
  </si>
  <si>
    <t>Коэфф. достижения индикативного показателя</t>
  </si>
  <si>
    <t>Коэфф. использования средств бюджета</t>
  </si>
  <si>
    <t>Эффективность использования средств бюджета</t>
  </si>
  <si>
    <t>Местный бюджет</t>
  </si>
  <si>
    <t>4=3-2</t>
  </si>
  <si>
    <t>5=3/2</t>
  </si>
  <si>
    <t>9=5/8</t>
  </si>
  <si>
    <t xml:space="preserve">доля расходов по данному направлению в общем объеме полученных средств </t>
  </si>
  <si>
    <t>Причины отклонений</t>
  </si>
  <si>
    <t>Использование средств бюджета,   рублей</t>
  </si>
  <si>
    <t>8=7/6</t>
  </si>
  <si>
    <t>Областной (федеральный) бюджет</t>
  </si>
  <si>
    <t xml:space="preserve">Достижение индикативных показателей за отчетный 
год         </t>
  </si>
  <si>
    <t>1. Муниципальная Программа «Обеспечение доступным и комфортным жильем граждан Российской Федерации» в Снежинском городском округе» на 2015-2020 гг.</t>
  </si>
  <si>
    <t>Итого по Программе 1</t>
  </si>
  <si>
    <t>Доля учащихся и студентов, систематически занимающихся физической культурой и спортом, в общей численности учащихся и студентов в Снежинском городском округе</t>
  </si>
  <si>
    <t xml:space="preserve"> Экономия в результате  конкурсных  процедур; отсутствие схемы  расположения земельных участков на кадастровой карте территории и, как следствие, невозможность  выполнения   запланированных работ.Расторжение полностью  одного муниципального контракта, исполнение ряда муниципальных контрактов  не в полном  объеме по причине пересечения  территориальных зон с земельными участками и невозможность постановки территориальных зон на кадастровый учет.</t>
  </si>
  <si>
    <t>2.4. Обеспечение обслуживания и сопровождения программного комплекса для ведения реестра муниципального имущества города Снежинска и формирования учета в программе «Барс – Аренда». Обновление (продление) электронной подписи для осуществления обмена электронными документами  с Управлением Росреестра по Челябинской области</t>
  </si>
  <si>
    <t>Всего по направлению 2</t>
  </si>
  <si>
    <t>Направление 3. Содержание и сохранность муниципального имущества</t>
  </si>
  <si>
    <t>3.1. Реализация функций возложенных на КУИ города Снежинска в области иных имущественных отношений</t>
  </si>
  <si>
    <t>Всего по направлению 3</t>
  </si>
  <si>
    <t>17. Муниципальная Программа "Создание и содержание мест (контейнерных  площадок) накопления твердых коммунальных отходов на территории Снежинского городского округа" на 2019-2023 годы</t>
  </si>
  <si>
    <t>Всего по Программе 17</t>
  </si>
  <si>
    <t>Подпрограмма 1Поддержка и развитие малого и среднего предпринимательства, физических лиц, применяющих специальный налоговый режим.</t>
  </si>
  <si>
    <t>Увеличение доли объектов имущества в перечнях имущества, предназначенного для предоставления субъектам МСП и физическим лицам, применяющим специальный налоговый режим (%)</t>
  </si>
  <si>
    <t>В перечень имущества, состоящий из 7 объектов добавлен один объект            (8-7/7)*100% = 14,3%</t>
  </si>
  <si>
    <t>Численность занятых в сфере малого и среднего предпринимательства, включая индивидуальных  предпринимателей (тыс.чел.)</t>
  </si>
  <si>
    <t>Число субъектов МСП (ед. на 10 тыс.чел.)</t>
  </si>
  <si>
    <t>Снижение числа субъектов МСП в связи с введением ограничений в целях нераспространения CОVID–2019</t>
  </si>
  <si>
    <t xml:space="preserve">Организация и проведение конкурсов для субъектов МСП и физических лиц, применяющих специальный налоговый режим
</t>
  </si>
  <si>
    <t xml:space="preserve">Количество субъектов МСП и физических лиц, применяющих специальный налоговый режим принявших участие в конкурсах, проводимых администра
цией Снежинского городского округа (ед.)
</t>
  </si>
  <si>
    <t>Организация и проведение мероприятий, посвященных Дню российского предпринимательства</t>
  </si>
  <si>
    <t>Итого по задаче 8</t>
  </si>
  <si>
    <t>Итого по задаче 9</t>
  </si>
  <si>
    <t>Капитальный ремонт участка автомобильной дороги с устройством автобусных остановок в селе Воскресенское в пределах улиц Бажова - Заречная</t>
  </si>
  <si>
    <t>2. Муниципальная Программа "Развитие культуры и  реализация молодежной политики в Снежинском городском округе" на 2018 - 2024 гг.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</si>
</sst>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_-* #,##0.0_р_._-;\-* #,##0.0_р_._-;_-* &quot;-&quot;??_р_._-;_-@_-"/>
    <numFmt numFmtId="188" formatCode="#,##0.000_ ;\-#,##0.000\ "/>
    <numFmt numFmtId="189" formatCode="0.0%"/>
    <numFmt numFmtId="190" formatCode="#,##0.0"/>
    <numFmt numFmtId="191" formatCode="_-* #,##0_р_._-;\-* #,##0_р_._-;_-* &quot;-&quot;??_р_._-;_-@_-"/>
    <numFmt numFmtId="192" formatCode="_-* #,##0.0000_р_._-;\-* #,##0.0000_р_._-;_-* &quot;-&quot;??_р_._-;_-@_-"/>
    <numFmt numFmtId="193" formatCode="#,##0.00_р_."/>
    <numFmt numFmtId="194" formatCode="#,##0.0000"/>
    <numFmt numFmtId="195" formatCode="?"/>
    <numFmt numFmtId="196" formatCode="0.0"/>
    <numFmt numFmtId="197" formatCode="#,##0.00000"/>
    <numFmt numFmtId="198" formatCode="0.0000"/>
    <numFmt numFmtId="199" formatCode="[$-FC19]d\ mmmm\ yyyy\ &quot;г.&quot;"/>
    <numFmt numFmtId="200" formatCode="0.00000000"/>
    <numFmt numFmtId="201" formatCode="0.0000000"/>
    <numFmt numFmtId="202" formatCode="0.000000"/>
    <numFmt numFmtId="203" formatCode="0.00000"/>
    <numFmt numFmtId="204" formatCode="#,##0.00_ ;\-#,##0.00\ "/>
    <numFmt numFmtId="205" formatCode="#,##0.00\ _₽"/>
    <numFmt numFmtId="206" formatCode="0.0000000000"/>
    <numFmt numFmtId="207" formatCode="0.000000000"/>
    <numFmt numFmtId="208" formatCode="0.0000E+00"/>
    <numFmt numFmtId="209" formatCode="0.000E+00"/>
    <numFmt numFmtId="210" formatCode="0.0E+00"/>
    <numFmt numFmtId="211" formatCode="0E+00"/>
    <numFmt numFmtId="212" formatCode="_-* #,##0.000_р_._-;\-* #,##0.000_р_._-;_-* &quot;-&quot;??_р_._-;_-@_-"/>
    <numFmt numFmtId="213" formatCode="_-* #,##0.00000_р_._-;\-* #,##0.00000_р_._-;_-* &quot;-&quot;??_р_._-;_-@_-"/>
    <numFmt numFmtId="214" formatCode="_(* #,##0.00_);_(* \(#,##0.00\);_(* &quot;-&quot;??_);_(@_)"/>
    <numFmt numFmtId="215" formatCode="_-* #,##0.0&quot;р.&quot;_-;\-* #,##0.0&quot;р.&quot;_-;_-* &quot;-&quot;??&quot;р.&quot;_-;_-@_-"/>
    <numFmt numFmtId="216" formatCode="_-* #,##0&quot;р.&quot;_-;\-* #,##0&quot;р.&quot;_-;_-* &quot;-&quot;??&quot;р.&quot;_-;_-@_-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center" vertical="center"/>
      <protection/>
    </xf>
    <xf numFmtId="180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64" applyNumberFormat="1" applyFont="1" applyFill="1" applyBorder="1" applyAlignment="1">
      <alignment horizontal="left" vertical="center" wrapText="1"/>
    </xf>
    <xf numFmtId="187" fontId="5" fillId="0" borderId="10" xfId="64" applyNumberFormat="1" applyFont="1" applyFill="1" applyBorder="1" applyAlignment="1">
      <alignment horizontal="left" vertical="center" wrapText="1"/>
    </xf>
    <xf numFmtId="186" fontId="5" fillId="0" borderId="10" xfId="64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180" fontId="5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0" fontId="5" fillId="33" borderId="10" xfId="56" applyNumberFormat="1" applyFont="1" applyFill="1" applyBorder="1" applyAlignment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180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185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85" fontId="3" fillId="33" borderId="10" xfId="0" applyNumberFormat="1" applyFont="1" applyFill="1" applyBorder="1" applyAlignment="1">
      <alignment horizontal="center" vertic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</xf>
    <xf numFmtId="4" fontId="5" fillId="0" borderId="10" xfId="64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8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0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85" fontId="10" fillId="0" borderId="10" xfId="54" applyNumberFormat="1" applyFont="1" applyFill="1" applyBorder="1" applyAlignment="1">
      <alignment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54" applyNumberFormat="1" applyFont="1" applyFill="1" applyBorder="1" applyAlignment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80" fontId="3" fillId="33" borderId="10" xfId="0" applyNumberFormat="1" applyFont="1" applyFill="1" applyBorder="1" applyAlignment="1">
      <alignment horizontal="center" vertical="top"/>
    </xf>
    <xf numFmtId="180" fontId="5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194" fontId="5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3" fillId="33" borderId="10" xfId="56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80" fontId="5" fillId="33" borderId="10" xfId="54" applyNumberFormat="1" applyFont="1" applyFill="1" applyBorder="1" applyAlignment="1">
      <alignment horizontal="center" vertical="center" wrapText="1"/>
      <protection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85" fontId="5" fillId="33" borderId="10" xfId="0" applyNumberFormat="1" applyFont="1" applyFill="1" applyBorder="1" applyAlignment="1">
      <alignment horizontal="center" vertical="top" wrapText="1"/>
    </xf>
    <xf numFmtId="196" fontId="3" fillId="33" borderId="10" xfId="0" applyNumberFormat="1" applyFont="1" applyFill="1" applyBorder="1" applyAlignment="1">
      <alignment horizontal="center" vertical="top" wrapText="1"/>
    </xf>
    <xf numFmtId="194" fontId="5" fillId="33" borderId="10" xfId="0" applyNumberFormat="1" applyFont="1" applyFill="1" applyBorder="1" applyAlignment="1">
      <alignment horizontal="center" vertical="top" wrapText="1"/>
    </xf>
    <xf numFmtId="0" fontId="5" fillId="0" borderId="10" xfId="54" applyFont="1" applyBorder="1" applyAlignment="1">
      <alignment vertical="top" wrapText="1"/>
      <protection/>
    </xf>
    <xf numFmtId="194" fontId="5" fillId="33" borderId="10" xfId="0" applyNumberFormat="1" applyFont="1" applyFill="1" applyBorder="1" applyAlignment="1">
      <alignment horizontal="center" vertical="center"/>
    </xf>
    <xf numFmtId="4" fontId="5" fillId="33" borderId="10" xfId="64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194" fontId="3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180" fontId="3" fillId="34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top" wrapText="1"/>
    </xf>
    <xf numFmtId="198" fontId="3" fillId="34" borderId="10" xfId="0" applyNumberFormat="1" applyFont="1" applyFill="1" applyBorder="1" applyAlignment="1">
      <alignment horizontal="center" vertical="top" wrapText="1"/>
    </xf>
    <xf numFmtId="180" fontId="3" fillId="34" borderId="10" xfId="56" applyNumberFormat="1" applyFont="1" applyFill="1" applyBorder="1" applyAlignment="1">
      <alignment horizontal="center" vertical="center"/>
      <protection/>
    </xf>
    <xf numFmtId="180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3" fontId="3" fillId="34" borderId="10" xfId="56" applyNumberFormat="1" applyFont="1" applyFill="1" applyBorder="1" applyAlignment="1">
      <alignment horizontal="center" vertical="center"/>
      <protection/>
    </xf>
    <xf numFmtId="180" fontId="3" fillId="34" borderId="10" xfId="54" applyNumberFormat="1" applyFont="1" applyFill="1" applyBorder="1" applyAlignment="1">
      <alignment horizontal="center" vertical="center" wrapText="1"/>
      <protection/>
    </xf>
    <xf numFmtId="4" fontId="3" fillId="34" borderId="10" xfId="54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wrapText="1"/>
    </xf>
    <xf numFmtId="185" fontId="3" fillId="3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96" fontId="5" fillId="33" borderId="10" xfId="54" applyNumberFormat="1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185" fontId="5" fillId="33" borderId="10" xfId="54" applyNumberFormat="1" applyFont="1" applyFill="1" applyBorder="1" applyAlignment="1">
      <alignment horizontal="center" vertical="top" wrapText="1"/>
      <protection/>
    </xf>
    <xf numFmtId="3" fontId="5" fillId="33" borderId="10" xfId="54" applyNumberFormat="1" applyFont="1" applyFill="1" applyBorder="1" applyAlignment="1">
      <alignment horizontal="center" vertical="top" wrapText="1"/>
      <protection/>
    </xf>
    <xf numFmtId="4" fontId="5" fillId="33" borderId="10" xfId="54" applyNumberFormat="1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196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54" applyNumberFormat="1" applyFont="1" applyBorder="1" applyAlignment="1">
      <alignment horizontal="center" vertical="top" wrapText="1"/>
      <protection/>
    </xf>
    <xf numFmtId="185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4" fontId="5" fillId="0" borderId="10" xfId="54" applyNumberFormat="1" applyFont="1" applyBorder="1" applyAlignment="1">
      <alignment horizontal="center" vertical="top" wrapText="1"/>
      <protection/>
    </xf>
    <xf numFmtId="2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/>
    </xf>
    <xf numFmtId="185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3" fillId="0" borderId="10" xfId="54" applyFont="1" applyBorder="1" applyAlignment="1">
      <alignment vertical="top" wrapText="1"/>
      <protection/>
    </xf>
    <xf numFmtId="185" fontId="3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33" borderId="10" xfId="56" applyNumberFormat="1" applyFont="1" applyFill="1" applyBorder="1" applyAlignment="1">
      <alignment vertical="top" wrapText="1"/>
      <protection/>
    </xf>
    <xf numFmtId="205" fontId="5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0" xfId="0" applyNumberFormat="1" applyFont="1" applyFill="1" applyBorder="1" applyAlignment="1">
      <alignment horizontal="center" vertical="center" wrapText="1"/>
    </xf>
    <xf numFmtId="192" fontId="5" fillId="33" borderId="10" xfId="64" applyNumberFormat="1" applyFont="1" applyFill="1" applyBorder="1" applyAlignment="1">
      <alignment horizontal="center" vertical="center" wrapText="1"/>
    </xf>
    <xf numFmtId="212" fontId="5" fillId="33" borderId="10" xfId="64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205" fontId="5" fillId="33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93" fontId="5" fillId="33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vertical="center" wrapText="1"/>
    </xf>
    <xf numFmtId="203" fontId="5" fillId="33" borderId="10" xfId="56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185" fontId="5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center" wrapText="1"/>
    </xf>
    <xf numFmtId="190" fontId="5" fillId="33" borderId="10" xfId="0" applyNumberFormat="1" applyFont="1" applyFill="1" applyBorder="1" applyAlignment="1">
      <alignment vertical="center" wrapText="1"/>
    </xf>
    <xf numFmtId="180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wrapText="1"/>
      <protection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185" fontId="5" fillId="0" borderId="10" xfId="53" applyNumberFormat="1" applyFont="1" applyBorder="1">
      <alignment/>
      <protection/>
    </xf>
    <xf numFmtId="0" fontId="6" fillId="0" borderId="10" xfId="0" applyFont="1" applyBorder="1" applyAlignment="1">
      <alignment vertical="top" wrapText="1"/>
    </xf>
    <xf numFmtId="0" fontId="3" fillId="34" borderId="10" xfId="54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185" fontId="18" fillId="0" borderId="0" xfId="53" applyNumberFormat="1" applyFont="1" applyBorder="1">
      <alignment/>
      <protection/>
    </xf>
    <xf numFmtId="0" fontId="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/>
    </xf>
    <xf numFmtId="180" fontId="3" fillId="34" borderId="10" xfId="0" applyNumberFormat="1" applyFont="1" applyFill="1" applyBorder="1" applyAlignment="1">
      <alignment horizontal="center" vertical="top"/>
    </xf>
    <xf numFmtId="198" fontId="3" fillId="33" borderId="10" xfId="0" applyNumberFormat="1" applyFont="1" applyFill="1" applyBorder="1" applyAlignment="1">
      <alignment horizontal="center" vertical="top" wrapText="1"/>
    </xf>
    <xf numFmtId="179" fontId="5" fillId="0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" fontId="5" fillId="33" borderId="10" xfId="56" applyNumberFormat="1" applyFont="1" applyFill="1" applyBorder="1" applyAlignment="1">
      <alignment horizontal="center" vertical="center" wrapText="1"/>
      <protection/>
    </xf>
    <xf numFmtId="185" fontId="5" fillId="33" borderId="10" xfId="56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185" fontId="10" fillId="0" borderId="10" xfId="54" applyNumberFormat="1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6" fillId="0" borderId="10" xfId="53" applyFont="1" applyBorder="1" applyAlignment="1">
      <alignment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196" fontId="3" fillId="33" borderId="10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198" fontId="5" fillId="33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>
      <alignment horizontal="center" vertical="top"/>
    </xf>
    <xf numFmtId="190" fontId="3" fillId="34" borderId="10" xfId="0" applyNumberFormat="1" applyFont="1" applyFill="1" applyBorder="1" applyAlignment="1">
      <alignment horizontal="center" vertical="top"/>
    </xf>
    <xf numFmtId="49" fontId="5" fillId="33" borderId="10" xfId="56" applyNumberFormat="1" applyFont="1" applyFill="1" applyBorder="1" applyAlignment="1">
      <alignment horizontal="left" vertical="center" wrapText="1"/>
      <protection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180" fontId="3" fillId="33" borderId="10" xfId="54" applyNumberFormat="1" applyFont="1" applyFill="1" applyBorder="1" applyAlignment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center" vertical="top" wrapText="1"/>
    </xf>
    <xf numFmtId="2" fontId="10" fillId="33" borderId="10" xfId="54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vertical="top" wrapText="1"/>
    </xf>
    <xf numFmtId="180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180" fontId="5" fillId="33" borderId="11" xfId="0" applyNumberFormat="1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2" fontId="5" fillId="0" borderId="10" xfId="56" applyNumberFormat="1" applyFont="1" applyFill="1" applyBorder="1" applyAlignment="1">
      <alignment horizontal="center" vertical="center"/>
      <protection/>
    </xf>
    <xf numFmtId="0" fontId="5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185" fontId="5" fillId="0" borderId="10" xfId="0" applyNumberFormat="1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left" vertical="top" wrapText="1"/>
    </xf>
    <xf numFmtId="196" fontId="5" fillId="33" borderId="10" xfId="0" applyNumberFormat="1" applyFont="1" applyFill="1" applyBorder="1" applyAlignment="1">
      <alignment horizontal="center" vertical="top"/>
    </xf>
    <xf numFmtId="2" fontId="5" fillId="34" borderId="10" xfId="0" applyNumberFormat="1" applyFont="1" applyFill="1" applyBorder="1" applyAlignment="1">
      <alignment horizontal="center" vertical="top"/>
    </xf>
    <xf numFmtId="180" fontId="5" fillId="34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80" fontId="5" fillId="35" borderId="10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180" fontId="10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3" fillId="34" borderId="10" xfId="56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5" fillId="0" borderId="10" xfId="55" applyFont="1" applyBorder="1" applyAlignment="1">
      <alignment horizontal="center" vertical="top" wrapText="1"/>
      <protection/>
    </xf>
    <xf numFmtId="2" fontId="5" fillId="0" borderId="10" xfId="55" applyNumberFormat="1" applyFont="1" applyBorder="1" applyAlignment="1">
      <alignment horizontal="center" vertical="top" wrapText="1"/>
      <protection/>
    </xf>
    <xf numFmtId="4" fontId="5" fillId="0" borderId="10" xfId="55" applyNumberFormat="1" applyFont="1" applyBorder="1" applyAlignment="1">
      <alignment horizontal="center" vertical="top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4" fontId="5" fillId="0" borderId="10" xfId="53" applyNumberFormat="1" applyFont="1" applyBorder="1" applyAlignment="1">
      <alignment horizontal="center" vertical="top" wrapText="1"/>
      <protection/>
    </xf>
    <xf numFmtId="204" fontId="5" fillId="33" borderId="10" xfId="66" applyNumberFormat="1" applyFont="1" applyFill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 wrapText="1"/>
      <protection/>
    </xf>
    <xf numFmtId="3" fontId="5" fillId="0" borderId="10" xfId="55" applyNumberFormat="1" applyFont="1" applyBorder="1" applyAlignment="1">
      <alignment horizontal="center" vertical="top" wrapText="1"/>
      <protection/>
    </xf>
    <xf numFmtId="205" fontId="5" fillId="0" borderId="10" xfId="53" applyNumberFormat="1" applyFont="1" applyBorder="1" applyAlignment="1">
      <alignment horizontal="center" vertical="top" wrapText="1"/>
      <protection/>
    </xf>
    <xf numFmtId="205" fontId="5" fillId="0" borderId="10" xfId="55" applyNumberFormat="1" applyFont="1" applyBorder="1" applyAlignment="1">
      <alignment horizontal="center" vertical="top" wrapText="1"/>
      <protection/>
    </xf>
    <xf numFmtId="2" fontId="5" fillId="0" borderId="10" xfId="53" applyNumberFormat="1" applyFont="1" applyBorder="1">
      <alignment/>
      <protection/>
    </xf>
    <xf numFmtId="4" fontId="5" fillId="0" borderId="10" xfId="53" applyNumberFormat="1" applyFont="1" applyBorder="1">
      <alignment/>
      <protection/>
    </xf>
    <xf numFmtId="185" fontId="5" fillId="33" borderId="10" xfId="53" applyNumberFormat="1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5" fillId="0" borderId="10" xfId="53" applyFont="1" applyBorder="1">
      <alignment/>
      <protection/>
    </xf>
    <xf numFmtId="4" fontId="3" fillId="0" borderId="10" xfId="53" applyNumberFormat="1" applyFont="1" applyBorder="1" applyAlignment="1">
      <alignment horizontal="center" vertical="center"/>
      <protection/>
    </xf>
    <xf numFmtId="190" fontId="3" fillId="0" borderId="10" xfId="53" applyNumberFormat="1" applyFont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justify" wrapText="1"/>
    </xf>
    <xf numFmtId="0" fontId="3" fillId="35" borderId="10" xfId="0" applyFont="1" applyFill="1" applyBorder="1" applyAlignment="1">
      <alignment vertical="top"/>
    </xf>
    <xf numFmtId="190" fontId="1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5" fontId="3" fillId="34" borderId="10" xfId="0" applyNumberFormat="1" applyFont="1" applyFill="1" applyBorder="1" applyAlignment="1">
      <alignment horizontal="center"/>
    </xf>
    <xf numFmtId="190" fontId="3" fillId="34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5" fontId="5" fillId="0" borderId="10" xfId="55" applyNumberFormat="1" applyFont="1" applyBorder="1" applyAlignment="1">
      <alignment horizontal="center" vertical="top" wrapText="1"/>
      <protection/>
    </xf>
    <xf numFmtId="4" fontId="5" fillId="33" borderId="10" xfId="53" applyNumberFormat="1" applyFont="1" applyFill="1" applyBorder="1" applyAlignment="1">
      <alignment horizontal="center" vertical="top" wrapText="1"/>
      <protection/>
    </xf>
    <xf numFmtId="0" fontId="8" fillId="35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180" fontId="19" fillId="34" borderId="10" xfId="0" applyNumberFormat="1" applyFont="1" applyFill="1" applyBorder="1" applyAlignment="1">
      <alignment horizontal="center" vertical="top" wrapText="1"/>
    </xf>
    <xf numFmtId="180" fontId="19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 wrapText="1"/>
    </xf>
    <xf numFmtId="4" fontId="19" fillId="33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19" fillId="33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vertical="top" wrapText="1"/>
    </xf>
    <xf numFmtId="4" fontId="19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wrapText="1"/>
    </xf>
    <xf numFmtId="4" fontId="6" fillId="0" borderId="10" xfId="64" applyNumberFormat="1" applyFont="1" applyFill="1" applyBorder="1" applyAlignment="1">
      <alignment horizontal="left" vertical="top" wrapText="1"/>
    </xf>
    <xf numFmtId="9" fontId="19" fillId="34" borderId="10" xfId="61" applyFont="1" applyFill="1" applyBorder="1" applyAlignment="1">
      <alignment horizontal="center" vertical="center" wrapText="1"/>
    </xf>
    <xf numFmtId="9" fontId="19" fillId="0" borderId="10" xfId="6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4" fontId="19" fillId="34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top" wrapText="1"/>
    </xf>
    <xf numFmtId="4" fontId="19" fillId="34" borderId="10" xfId="0" applyNumberFormat="1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justify" vertical="center"/>
      <protection/>
    </xf>
    <xf numFmtId="0" fontId="6" fillId="33" borderId="10" xfId="53" applyFont="1" applyFill="1" applyBorder="1" applyAlignment="1">
      <alignment horizontal="justify" vertical="center" wrapText="1"/>
      <protection/>
    </xf>
    <xf numFmtId="0" fontId="6" fillId="33" borderId="10" xfId="53" applyFont="1" applyFill="1" applyBorder="1" applyAlignment="1">
      <alignment horizontal="justify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3" fontId="6" fillId="0" borderId="10" xfId="54" applyNumberFormat="1" applyFont="1" applyBorder="1" applyAlignment="1">
      <alignment horizontal="left" vertical="top" wrapText="1"/>
      <protection/>
    </xf>
    <xf numFmtId="180" fontId="19" fillId="33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wrapText="1"/>
    </xf>
    <xf numFmtId="1" fontId="6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/>
    </xf>
    <xf numFmtId="180" fontId="19" fillId="34" borderId="10" xfId="0" applyNumberFormat="1" applyFont="1" applyFill="1" applyBorder="1" applyAlignment="1">
      <alignment horizontal="center" vertical="center" wrapText="1"/>
    </xf>
    <xf numFmtId="3" fontId="6" fillId="0" borderId="10" xfId="54" applyNumberFormat="1" applyFont="1" applyBorder="1" applyAlignment="1">
      <alignment horizontal="center" vertical="top" wrapText="1"/>
      <protection/>
    </xf>
    <xf numFmtId="3" fontId="19" fillId="33" borderId="10" xfId="54" applyNumberFormat="1" applyFont="1" applyFill="1" applyBorder="1" applyAlignment="1">
      <alignment horizontal="center" vertical="top" wrapText="1"/>
      <protection/>
    </xf>
    <xf numFmtId="0" fontId="6" fillId="33" borderId="10" xfId="0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vertical="center" wrapText="1"/>
    </xf>
    <xf numFmtId="197" fontId="19" fillId="33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6" fontId="6" fillId="0" borderId="10" xfId="64" applyNumberFormat="1" applyFont="1" applyFill="1" applyBorder="1" applyAlignment="1">
      <alignment horizontal="left" vertical="center" wrapText="1"/>
    </xf>
    <xf numFmtId="4" fontId="6" fillId="0" borderId="10" xfId="54" applyNumberFormat="1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>
      <alignment horizontal="left" vertical="center" wrapText="1"/>
    </xf>
    <xf numFmtId="180" fontId="19" fillId="34" borderId="10" xfId="0" applyNumberFormat="1" applyFont="1" applyFill="1" applyBorder="1" applyAlignment="1">
      <alignment horizontal="center" vertical="center"/>
    </xf>
    <xf numFmtId="4" fontId="19" fillId="33" borderId="10" xfId="54" applyNumberFormat="1" applyFont="1" applyFill="1" applyBorder="1" applyAlignment="1">
      <alignment horizontal="center" vertical="center" wrapText="1"/>
      <protection/>
    </xf>
    <xf numFmtId="4" fontId="19" fillId="34" borderId="10" xfId="0" applyNumberFormat="1" applyFont="1" applyFill="1" applyBorder="1" applyAlignment="1">
      <alignment vertical="top" wrapText="1"/>
    </xf>
    <xf numFmtId="4" fontId="19" fillId="33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vertical="center" wrapText="1"/>
    </xf>
    <xf numFmtId="185" fontId="19" fillId="34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85" fontId="19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top"/>
    </xf>
    <xf numFmtId="180" fontId="19" fillId="35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204" fontId="3" fillId="0" borderId="10" xfId="0" applyNumberFormat="1" applyFont="1" applyBorder="1" applyAlignment="1">
      <alignment vertical="top" wrapText="1"/>
    </xf>
    <xf numFmtId="20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204" fontId="5" fillId="33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96" fontId="5" fillId="0" borderId="10" xfId="0" applyNumberFormat="1" applyFont="1" applyFill="1" applyBorder="1" applyAlignment="1">
      <alignment horizontal="center" vertical="top" wrapText="1"/>
    </xf>
    <xf numFmtId="4" fontId="5" fillId="33" borderId="10" xfId="64" applyNumberFormat="1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center" vertical="center" wrapText="1"/>
    </xf>
    <xf numFmtId="185" fontId="3" fillId="34" borderId="10" xfId="56" applyNumberFormat="1" applyFont="1" applyFill="1" applyBorder="1" applyAlignment="1">
      <alignment horizontal="center" vertical="center"/>
      <protection/>
    </xf>
    <xf numFmtId="3" fontId="3" fillId="34" borderId="10" xfId="0" applyNumberFormat="1" applyFont="1" applyFill="1" applyBorder="1" applyAlignment="1">
      <alignment horizontal="center" vertical="top"/>
    </xf>
    <xf numFmtId="185" fontId="10" fillId="33" borderId="10" xfId="0" applyNumberFormat="1" applyFont="1" applyFill="1" applyBorder="1" applyAlignment="1">
      <alignment horizontal="center" vertical="top" wrapText="1"/>
    </xf>
    <xf numFmtId="185" fontId="5" fillId="33" borderId="10" xfId="53" applyNumberFormat="1" applyFont="1" applyFill="1" applyBorder="1">
      <alignment/>
      <protection/>
    </xf>
    <xf numFmtId="0" fontId="5" fillId="0" borderId="10" xfId="53" applyFont="1" applyBorder="1" applyAlignment="1">
      <alignment horizontal="right" vertical="top" wrapText="1"/>
      <protection/>
    </xf>
    <xf numFmtId="3" fontId="5" fillId="0" borderId="10" xfId="55" applyNumberFormat="1" applyFont="1" applyBorder="1" applyAlignment="1">
      <alignment horizontal="right" vertical="top" wrapText="1"/>
      <protection/>
    </xf>
    <xf numFmtId="185" fontId="5" fillId="0" borderId="10" xfId="53" applyNumberFormat="1" applyFont="1" applyBorder="1" applyAlignment="1">
      <alignment horizontal="right" vertical="top" wrapText="1"/>
      <protection/>
    </xf>
    <xf numFmtId="180" fontId="3" fillId="0" borderId="10" xfId="53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190" fontId="3" fillId="34" borderId="10" xfId="0" applyNumberFormat="1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5" fontId="5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196" fontId="3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/>
    </xf>
    <xf numFmtId="185" fontId="3" fillId="35" borderId="10" xfId="0" applyNumberFormat="1" applyFont="1" applyFill="1" applyBorder="1" applyAlignment="1">
      <alignment horizontal="center" vertical="top"/>
    </xf>
    <xf numFmtId="180" fontId="5" fillId="0" borderId="10" xfId="56" applyNumberFormat="1" applyFont="1" applyFill="1" applyBorder="1" applyAlignment="1">
      <alignment horizontal="center" vertical="top"/>
      <protection/>
    </xf>
    <xf numFmtId="4" fontId="6" fillId="33" borderId="10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wrapText="1"/>
    </xf>
    <xf numFmtId="190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185" fontId="5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185" fontId="5" fillId="0" borderId="10" xfId="53" applyNumberFormat="1" applyFont="1" applyBorder="1" applyAlignment="1">
      <alignment horizontal="center" vertical="top"/>
      <protection/>
    </xf>
    <xf numFmtId="185" fontId="5" fillId="33" borderId="10" xfId="53" applyNumberFormat="1" applyFont="1" applyFill="1" applyBorder="1" applyAlignment="1">
      <alignment horizontal="center" vertical="top"/>
      <protection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vertical="top" wrapText="1"/>
      <protection/>
    </xf>
    <xf numFmtId="0" fontId="3" fillId="34" borderId="1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Обычный_Результаты оценки эффективност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99"/>
  <sheetViews>
    <sheetView tabSelected="1" zoomScale="110" zoomScaleNormal="110" zoomScaleSheetLayoutView="100" workbookViewId="0" topLeftCell="A1">
      <selection activeCell="M12" sqref="M12"/>
    </sheetView>
  </sheetViews>
  <sheetFormatPr defaultColWidth="9.00390625" defaultRowHeight="12.75"/>
  <cols>
    <col min="1" max="1" width="36.375" style="24" customWidth="1"/>
    <col min="2" max="2" width="11.875" style="24" bestFit="1" customWidth="1"/>
    <col min="3" max="3" width="12.25390625" style="24" bestFit="1" customWidth="1"/>
    <col min="4" max="4" width="11.00390625" style="24" customWidth="1"/>
    <col min="5" max="5" width="10.25390625" style="24" customWidth="1"/>
    <col min="6" max="6" width="16.625" style="24" customWidth="1"/>
    <col min="7" max="7" width="16.375" style="24" customWidth="1"/>
    <col min="8" max="8" width="14.75390625" style="24" customWidth="1"/>
    <col min="9" max="9" width="12.875" style="24" customWidth="1"/>
    <col min="10" max="10" width="21.75390625" style="471" customWidth="1"/>
    <col min="11" max="11" width="13.625" style="24" customWidth="1"/>
    <col min="12" max="12" width="9.125" style="24" customWidth="1"/>
    <col min="13" max="13" width="11.75390625" style="24" customWidth="1"/>
    <col min="14" max="16384" width="9.125" style="24" customWidth="1"/>
  </cols>
  <sheetData>
    <row r="1" spans="1:10" ht="15.75" customHeight="1">
      <c r="A1" s="580" t="s">
        <v>17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 ht="18.75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</row>
    <row r="3" spans="1:10" ht="39.75" customHeight="1">
      <c r="A3" s="582" t="s">
        <v>748</v>
      </c>
      <c r="B3" s="584" t="s">
        <v>764</v>
      </c>
      <c r="C3" s="588"/>
      <c r="D3" s="585"/>
      <c r="E3" s="582" t="s">
        <v>752</v>
      </c>
      <c r="F3" s="584" t="s">
        <v>761</v>
      </c>
      <c r="G3" s="585"/>
      <c r="H3" s="582" t="s">
        <v>753</v>
      </c>
      <c r="I3" s="582" t="s">
        <v>754</v>
      </c>
      <c r="J3" s="586" t="s">
        <v>760</v>
      </c>
    </row>
    <row r="4" spans="1:10" ht="27.75" customHeight="1">
      <c r="A4" s="583"/>
      <c r="B4" s="5" t="s">
        <v>749</v>
      </c>
      <c r="C4" s="5" t="s">
        <v>750</v>
      </c>
      <c r="D4" s="5" t="s">
        <v>751</v>
      </c>
      <c r="E4" s="583"/>
      <c r="F4" s="5" t="s">
        <v>749</v>
      </c>
      <c r="G4" s="5" t="s">
        <v>750</v>
      </c>
      <c r="H4" s="583"/>
      <c r="I4" s="583"/>
      <c r="J4" s="587"/>
    </row>
    <row r="5" spans="1:15" ht="21.75" customHeight="1">
      <c r="A5" s="5">
        <v>1</v>
      </c>
      <c r="B5" s="5">
        <v>2</v>
      </c>
      <c r="C5" s="5">
        <v>3</v>
      </c>
      <c r="D5" s="5" t="s">
        <v>756</v>
      </c>
      <c r="E5" s="5" t="s">
        <v>757</v>
      </c>
      <c r="F5" s="5">
        <v>6</v>
      </c>
      <c r="G5" s="5">
        <v>7</v>
      </c>
      <c r="H5" s="5" t="s">
        <v>762</v>
      </c>
      <c r="I5" s="5" t="s">
        <v>758</v>
      </c>
      <c r="J5" s="377">
        <v>10</v>
      </c>
      <c r="K5" s="28"/>
      <c r="L5" s="28"/>
      <c r="M5" s="28"/>
      <c r="N5" s="28"/>
      <c r="O5" s="28"/>
    </row>
    <row r="6" spans="1:10" ht="15" customHeight="1">
      <c r="A6" s="572" t="s">
        <v>755</v>
      </c>
      <c r="B6" s="572"/>
      <c r="C6" s="572"/>
      <c r="D6" s="572"/>
      <c r="E6" s="572"/>
      <c r="F6" s="572"/>
      <c r="G6" s="572"/>
      <c r="H6" s="572"/>
      <c r="I6" s="572"/>
      <c r="J6" s="572"/>
    </row>
    <row r="7" spans="1:10" ht="12.75" customHeight="1">
      <c r="A7" s="573" t="s">
        <v>765</v>
      </c>
      <c r="B7" s="574"/>
      <c r="C7" s="574"/>
      <c r="D7" s="574"/>
      <c r="E7" s="574"/>
      <c r="F7" s="574"/>
      <c r="G7" s="574"/>
      <c r="H7" s="574"/>
      <c r="I7" s="574"/>
      <c r="J7" s="575"/>
    </row>
    <row r="8" spans="1:10" ht="12.75">
      <c r="A8" s="302" t="s">
        <v>267</v>
      </c>
      <c r="B8" s="303"/>
      <c r="C8" s="303"/>
      <c r="D8" s="303"/>
      <c r="E8" s="304"/>
      <c r="F8" s="305"/>
      <c r="G8" s="305"/>
      <c r="H8" s="304"/>
      <c r="I8" s="304"/>
      <c r="J8" s="378"/>
    </row>
    <row r="9" spans="1:10" ht="108" customHeight="1">
      <c r="A9" s="55" t="s">
        <v>230</v>
      </c>
      <c r="B9" s="29">
        <v>25</v>
      </c>
      <c r="C9" s="29">
        <v>25</v>
      </c>
      <c r="D9" s="29">
        <f>C9-B9</f>
        <v>0</v>
      </c>
      <c r="E9" s="36">
        <f>C9/B9</f>
        <v>1</v>
      </c>
      <c r="F9" s="35">
        <v>4974868.8</v>
      </c>
      <c r="G9" s="35">
        <v>4939005.64</v>
      </c>
      <c r="H9" s="36">
        <f>G9/F9</f>
        <v>0.9927911345119292</v>
      </c>
      <c r="I9" s="31"/>
      <c r="J9" s="60" t="s">
        <v>58</v>
      </c>
    </row>
    <row r="10" spans="1:10" ht="25.5">
      <c r="A10" s="106" t="s">
        <v>231</v>
      </c>
      <c r="B10" s="29">
        <v>61</v>
      </c>
      <c r="C10" s="29">
        <v>61</v>
      </c>
      <c r="D10" s="29">
        <f>C10-B10</f>
        <v>0</v>
      </c>
      <c r="E10" s="36">
        <f>C10/B10</f>
        <v>1</v>
      </c>
      <c r="F10" s="35">
        <v>626247.68</v>
      </c>
      <c r="G10" s="35">
        <v>620815.92</v>
      </c>
      <c r="H10" s="36">
        <f>G10/F10</f>
        <v>0.9913264988063508</v>
      </c>
      <c r="I10" s="31"/>
      <c r="J10" s="60" t="s">
        <v>600</v>
      </c>
    </row>
    <row r="11" spans="1:10" ht="49.5" customHeight="1">
      <c r="A11" s="108" t="s">
        <v>232</v>
      </c>
      <c r="B11" s="107"/>
      <c r="C11" s="107"/>
      <c r="D11" s="107"/>
      <c r="E11" s="107"/>
      <c r="F11" s="107"/>
      <c r="G11" s="107"/>
      <c r="H11" s="107"/>
      <c r="I11" s="107"/>
      <c r="J11" s="379"/>
    </row>
    <row r="12" spans="1:10" ht="191.25" customHeight="1">
      <c r="A12" s="12" t="s">
        <v>453</v>
      </c>
      <c r="B12" s="275"/>
      <c r="C12" s="275"/>
      <c r="D12" s="276"/>
      <c r="E12" s="37"/>
      <c r="F12" s="209">
        <v>6015000</v>
      </c>
      <c r="G12" s="210">
        <v>783358.42</v>
      </c>
      <c r="H12" s="211">
        <f>SUM(G12/F12)</f>
        <v>0.13023415128844557</v>
      </c>
      <c r="I12" s="71" t="s">
        <v>705</v>
      </c>
      <c r="J12" s="274" t="s">
        <v>236</v>
      </c>
    </row>
    <row r="13" spans="1:10" ht="48">
      <c r="A13" s="12" t="s">
        <v>265</v>
      </c>
      <c r="B13" s="275"/>
      <c r="C13" s="275"/>
      <c r="D13" s="276"/>
      <c r="E13" s="37"/>
      <c r="F13" s="209">
        <v>635985.81</v>
      </c>
      <c r="G13" s="210">
        <v>630873.95</v>
      </c>
      <c r="H13" s="212">
        <f>G13/F13</f>
        <v>0.9919623049451369</v>
      </c>
      <c r="I13" s="71" t="s">
        <v>705</v>
      </c>
      <c r="J13" s="274" t="s">
        <v>454</v>
      </c>
    </row>
    <row r="14" spans="1:10" ht="12.75">
      <c r="A14" s="473" t="s">
        <v>452</v>
      </c>
      <c r="B14" s="474">
        <v>5</v>
      </c>
      <c r="C14" s="275">
        <v>5</v>
      </c>
      <c r="D14" s="276">
        <v>0</v>
      </c>
      <c r="E14" s="38">
        <f>C14/B14</f>
        <v>1</v>
      </c>
      <c r="F14" s="209"/>
      <c r="G14" s="210"/>
      <c r="H14" s="212"/>
      <c r="I14" s="71"/>
      <c r="J14" s="274"/>
    </row>
    <row r="15" spans="1:10" ht="12.75">
      <c r="A15" s="140" t="s">
        <v>266</v>
      </c>
      <c r="B15" s="140">
        <f>SUM(B9:B14)</f>
        <v>91</v>
      </c>
      <c r="C15" s="140">
        <f>SUM(C9:C14)</f>
        <v>91</v>
      </c>
      <c r="D15" s="143">
        <f>C15-B15</f>
        <v>0</v>
      </c>
      <c r="E15" s="285">
        <f>C15/B15</f>
        <v>1</v>
      </c>
      <c r="F15" s="284">
        <f>SUM(F9:F13)</f>
        <v>12252102.290000001</v>
      </c>
      <c r="G15" s="284">
        <f>SUM(G9:G13)</f>
        <v>6974053.93</v>
      </c>
      <c r="H15" s="144">
        <f>(H9+H10+H12+H13)/4</f>
        <v>0.7765785223879655</v>
      </c>
      <c r="I15" s="285">
        <f>E15/H15</f>
        <v>1.2876997897456877</v>
      </c>
      <c r="J15" s="380"/>
    </row>
    <row r="16" spans="1:10" ht="25.5">
      <c r="A16" s="106" t="s">
        <v>759</v>
      </c>
      <c r="B16" s="32"/>
      <c r="C16" s="32"/>
      <c r="D16" s="32"/>
      <c r="E16" s="33"/>
      <c r="F16" s="36">
        <f>F15/F885</f>
        <v>0.00483243633388687</v>
      </c>
      <c r="G16" s="36">
        <f>G15/G885</f>
        <v>0.002780169325487632</v>
      </c>
      <c r="H16" s="42"/>
      <c r="I16" s="42"/>
      <c r="J16" s="381"/>
    </row>
    <row r="17" spans="1:10" ht="12.75" customHeight="1">
      <c r="A17" s="537" t="s">
        <v>788</v>
      </c>
      <c r="B17" s="537"/>
      <c r="C17" s="537"/>
      <c r="D17" s="537"/>
      <c r="E17" s="537"/>
      <c r="F17" s="537"/>
      <c r="G17" s="537"/>
      <c r="H17" s="537"/>
      <c r="I17" s="537"/>
      <c r="J17" s="537"/>
    </row>
    <row r="18" spans="1:10" ht="14.25" customHeight="1">
      <c r="A18" s="576" t="s">
        <v>128</v>
      </c>
      <c r="B18" s="577"/>
      <c r="C18" s="577"/>
      <c r="D18" s="577"/>
      <c r="E18" s="577"/>
      <c r="F18" s="577"/>
      <c r="G18" s="577"/>
      <c r="H18" s="577"/>
      <c r="I18" s="577"/>
      <c r="J18" s="578"/>
    </row>
    <row r="19" spans="1:10" ht="30" customHeight="1">
      <c r="A19" s="12" t="s">
        <v>242</v>
      </c>
      <c r="B19" s="235"/>
      <c r="C19" s="235"/>
      <c r="D19" s="235"/>
      <c r="E19" s="235"/>
      <c r="F19" s="228">
        <v>51269851.1</v>
      </c>
      <c r="G19" s="228">
        <v>51269851.1</v>
      </c>
      <c r="H19" s="227">
        <f>G19/F19</f>
        <v>1</v>
      </c>
      <c r="I19" s="235"/>
      <c r="J19" s="27"/>
    </row>
    <row r="20" spans="1:10" ht="88.5" customHeight="1">
      <c r="A20" s="1" t="s">
        <v>243</v>
      </c>
      <c r="B20" s="29">
        <v>12</v>
      </c>
      <c r="C20" s="29">
        <v>12</v>
      </c>
      <c r="D20" s="29">
        <f>B20-C20</f>
        <v>0</v>
      </c>
      <c r="E20" s="36">
        <f>C20/B20</f>
        <v>1</v>
      </c>
      <c r="F20" s="328"/>
      <c r="G20" s="328"/>
      <c r="H20" s="228"/>
      <c r="I20" s="229"/>
      <c r="J20" s="382"/>
    </row>
    <row r="21" spans="1:10" ht="12.75" customHeight="1">
      <c r="A21" s="106" t="s">
        <v>244</v>
      </c>
      <c r="B21" s="310">
        <f>SUM(B20:B20)</f>
        <v>12</v>
      </c>
      <c r="C21" s="310">
        <f>SUM(C20:C20)</f>
        <v>12</v>
      </c>
      <c r="D21" s="311">
        <f>B21-C21</f>
        <v>0</v>
      </c>
      <c r="E21" s="111">
        <f>C21/B21</f>
        <v>1</v>
      </c>
      <c r="F21" s="56">
        <f>F19</f>
        <v>51269851.1</v>
      </c>
      <c r="G21" s="56">
        <f>G19</f>
        <v>51269851.1</v>
      </c>
      <c r="H21" s="111">
        <f>G21/F21</f>
        <v>1</v>
      </c>
      <c r="I21" s="111">
        <f>E21/H21</f>
        <v>1</v>
      </c>
      <c r="J21" s="383"/>
    </row>
    <row r="22" spans="1:10" ht="15.75" customHeight="1">
      <c r="A22" s="556" t="s">
        <v>740</v>
      </c>
      <c r="B22" s="556"/>
      <c r="C22" s="556"/>
      <c r="D22" s="556"/>
      <c r="E22" s="556"/>
      <c r="F22" s="556"/>
      <c r="G22" s="556"/>
      <c r="H22" s="556"/>
      <c r="I22" s="556"/>
      <c r="J22" s="556"/>
    </row>
    <row r="23" spans="1:10" ht="51">
      <c r="A23" s="12" t="s">
        <v>455</v>
      </c>
      <c r="B23" s="12"/>
      <c r="C23" s="12"/>
      <c r="D23" s="12"/>
      <c r="E23" s="12"/>
      <c r="F23" s="4">
        <v>70000</v>
      </c>
      <c r="G23" s="4">
        <v>70000</v>
      </c>
      <c r="H23" s="227">
        <f>G23/F23</f>
        <v>1</v>
      </c>
      <c r="I23" s="224"/>
      <c r="J23" s="384"/>
    </row>
    <row r="24" spans="1:10" ht="12.75">
      <c r="A24" s="12" t="s">
        <v>185</v>
      </c>
      <c r="B24" s="12"/>
      <c r="C24" s="12"/>
      <c r="D24" s="12"/>
      <c r="E24" s="12"/>
      <c r="F24" s="228">
        <v>70000</v>
      </c>
      <c r="G24" s="228">
        <v>70000</v>
      </c>
      <c r="H24" s="227">
        <f>G24/F24</f>
        <v>1</v>
      </c>
      <c r="I24" s="5"/>
      <c r="J24" s="385"/>
    </row>
    <row r="25" spans="1:10" ht="51">
      <c r="A25" s="1" t="s">
        <v>247</v>
      </c>
      <c r="B25" s="29">
        <v>3000</v>
      </c>
      <c r="C25" s="29">
        <v>3000</v>
      </c>
      <c r="D25" s="29">
        <f>B25-C25</f>
        <v>0</v>
      </c>
      <c r="E25" s="36">
        <f aca="true" t="shared" si="0" ref="E25:E33">C25/B25</f>
        <v>1</v>
      </c>
      <c r="F25" s="228"/>
      <c r="G25" s="228"/>
      <c r="H25" s="228"/>
      <c r="I25" s="229"/>
      <c r="J25" s="72"/>
    </row>
    <row r="26" spans="1:10" ht="76.5">
      <c r="A26" s="1" t="s">
        <v>248</v>
      </c>
      <c r="B26" s="29">
        <v>10</v>
      </c>
      <c r="C26" s="29">
        <v>10</v>
      </c>
      <c r="D26" s="29">
        <f>B26-C26</f>
        <v>0</v>
      </c>
      <c r="E26" s="36">
        <f t="shared" si="0"/>
        <v>1</v>
      </c>
      <c r="F26" s="228"/>
      <c r="G26" s="228"/>
      <c r="H26" s="228"/>
      <c r="I26" s="229"/>
      <c r="J26" s="72"/>
    </row>
    <row r="27" spans="1:10" ht="50.25" customHeight="1">
      <c r="A27" s="1" t="s">
        <v>352</v>
      </c>
      <c r="B27" s="29">
        <v>5</v>
      </c>
      <c r="C27" s="29">
        <v>5</v>
      </c>
      <c r="D27" s="29">
        <f aca="true" t="shared" si="1" ref="D27:D33">B27-C27</f>
        <v>0</v>
      </c>
      <c r="E27" s="36">
        <f t="shared" si="0"/>
        <v>1</v>
      </c>
      <c r="F27" s="228"/>
      <c r="G27" s="228"/>
      <c r="H27" s="228"/>
      <c r="I27" s="229"/>
      <c r="J27" s="382"/>
    </row>
    <row r="28" spans="1:10" ht="39.75" customHeight="1">
      <c r="A28" s="1" t="s">
        <v>353</v>
      </c>
      <c r="B28" s="29">
        <v>4500</v>
      </c>
      <c r="C28" s="29">
        <v>4500</v>
      </c>
      <c r="D28" s="29">
        <f t="shared" si="1"/>
        <v>0</v>
      </c>
      <c r="E28" s="36">
        <f t="shared" si="0"/>
        <v>1</v>
      </c>
      <c r="F28" s="228"/>
      <c r="G28" s="228"/>
      <c r="H28" s="228"/>
      <c r="I28" s="229"/>
      <c r="J28" s="382"/>
    </row>
    <row r="29" spans="1:10" ht="51">
      <c r="A29" s="1" t="s">
        <v>590</v>
      </c>
      <c r="B29" s="29">
        <v>50</v>
      </c>
      <c r="C29" s="29">
        <v>50</v>
      </c>
      <c r="D29" s="29">
        <f t="shared" si="1"/>
        <v>0</v>
      </c>
      <c r="E29" s="36">
        <f t="shared" si="0"/>
        <v>1</v>
      </c>
      <c r="F29" s="228"/>
      <c r="G29" s="228"/>
      <c r="H29" s="228"/>
      <c r="I29" s="229"/>
      <c r="J29" s="72"/>
    </row>
    <row r="30" spans="1:10" ht="51">
      <c r="A30" s="1" t="s">
        <v>354</v>
      </c>
      <c r="B30" s="29">
        <v>200</v>
      </c>
      <c r="C30" s="29">
        <v>200</v>
      </c>
      <c r="D30" s="29">
        <f t="shared" si="1"/>
        <v>0</v>
      </c>
      <c r="E30" s="36">
        <f t="shared" si="0"/>
        <v>1</v>
      </c>
      <c r="F30" s="228"/>
      <c r="G30" s="228"/>
      <c r="H30" s="228"/>
      <c r="I30" s="229"/>
      <c r="J30" s="72"/>
    </row>
    <row r="31" spans="1:10" ht="76.5">
      <c r="A31" s="1" t="s">
        <v>355</v>
      </c>
      <c r="B31" s="29">
        <v>130</v>
      </c>
      <c r="C31" s="29">
        <v>130</v>
      </c>
      <c r="D31" s="29">
        <f t="shared" si="1"/>
        <v>0</v>
      </c>
      <c r="E31" s="36">
        <f t="shared" si="0"/>
        <v>1</v>
      </c>
      <c r="F31" s="228"/>
      <c r="G31" s="228"/>
      <c r="H31" s="228"/>
      <c r="I31" s="229"/>
      <c r="J31" s="382"/>
    </row>
    <row r="32" spans="1:10" ht="38.25">
      <c r="A32" s="1" t="s">
        <v>356</v>
      </c>
      <c r="B32" s="29">
        <v>1</v>
      </c>
      <c r="C32" s="29">
        <v>1</v>
      </c>
      <c r="D32" s="29">
        <f t="shared" si="1"/>
        <v>0</v>
      </c>
      <c r="E32" s="36">
        <f t="shared" si="0"/>
        <v>1</v>
      </c>
      <c r="F32" s="228"/>
      <c r="G32" s="228"/>
      <c r="H32" s="228"/>
      <c r="I32" s="229"/>
      <c r="J32" s="382"/>
    </row>
    <row r="33" spans="1:10" ht="51">
      <c r="A33" s="1" t="s">
        <v>357</v>
      </c>
      <c r="B33" s="29">
        <v>10</v>
      </c>
      <c r="C33" s="29">
        <v>10</v>
      </c>
      <c r="D33" s="29">
        <f t="shared" si="1"/>
        <v>0</v>
      </c>
      <c r="E33" s="36">
        <f t="shared" si="0"/>
        <v>1</v>
      </c>
      <c r="F33" s="228"/>
      <c r="G33" s="228"/>
      <c r="H33" s="228"/>
      <c r="I33" s="229"/>
      <c r="J33" s="382"/>
    </row>
    <row r="34" spans="1:10" ht="14.25" customHeight="1">
      <c r="A34" s="106" t="s">
        <v>358</v>
      </c>
      <c r="B34" s="310">
        <f>SUM(B25:B33)</f>
        <v>7906</v>
      </c>
      <c r="C34" s="310">
        <f>SUM(C25:C33)</f>
        <v>7906</v>
      </c>
      <c r="D34" s="311">
        <f>C34-B34</f>
        <v>0</v>
      </c>
      <c r="E34" s="111">
        <f>C34/B34</f>
        <v>1</v>
      </c>
      <c r="F34" s="56">
        <f>F23</f>
        <v>70000</v>
      </c>
      <c r="G34" s="56">
        <f>G23</f>
        <v>70000</v>
      </c>
      <c r="H34" s="111">
        <f aca="true" t="shared" si="2" ref="H34:H42">G34/F34</f>
        <v>1</v>
      </c>
      <c r="I34" s="111">
        <f>E34/H34</f>
        <v>1</v>
      </c>
      <c r="J34" s="383"/>
    </row>
    <row r="35" spans="1:11" ht="39.75" customHeight="1">
      <c r="A35" s="1" t="s">
        <v>456</v>
      </c>
      <c r="B35" s="224"/>
      <c r="C35" s="2"/>
      <c r="D35" s="2"/>
      <c r="E35" s="2"/>
      <c r="F35" s="4">
        <f>F36+F41+F42</f>
        <v>1657968.5899999999</v>
      </c>
      <c r="G35" s="4">
        <f>G36+G41+G42</f>
        <v>1657968.5899999999</v>
      </c>
      <c r="H35" s="227">
        <f t="shared" si="2"/>
        <v>1</v>
      </c>
      <c r="I35" s="224"/>
      <c r="J35" s="386"/>
      <c r="K35" s="239"/>
    </row>
    <row r="36" spans="1:10" ht="94.5" customHeight="1">
      <c r="A36" s="6" t="s">
        <v>381</v>
      </c>
      <c r="B36" s="5">
        <f>SUM(B37:B40)</f>
        <v>220</v>
      </c>
      <c r="C36" s="5">
        <f>SUM(C37:C40)</f>
        <v>220</v>
      </c>
      <c r="D36" s="311">
        <f>C36-B36</f>
        <v>0</v>
      </c>
      <c r="E36" s="111">
        <f>C36/B36</f>
        <v>1</v>
      </c>
      <c r="F36" s="228">
        <f>SUM(F37:F40)</f>
        <v>1028296.19</v>
      </c>
      <c r="G36" s="228">
        <f>SUM(G37:G40)</f>
        <v>1028296.19</v>
      </c>
      <c r="H36" s="227">
        <f t="shared" si="2"/>
        <v>1</v>
      </c>
      <c r="I36" s="224"/>
      <c r="J36" s="386"/>
    </row>
    <row r="37" spans="1:10" ht="26.25" customHeight="1">
      <c r="A37" s="236" t="s">
        <v>351</v>
      </c>
      <c r="B37" s="29">
        <v>16</v>
      </c>
      <c r="C37" s="29">
        <v>16</v>
      </c>
      <c r="D37" s="29">
        <f>C37-B37</f>
        <v>0</v>
      </c>
      <c r="E37" s="36">
        <f>C37/B37</f>
        <v>1</v>
      </c>
      <c r="F37" s="228">
        <v>95419.74</v>
      </c>
      <c r="G37" s="4">
        <v>95419.74</v>
      </c>
      <c r="H37" s="227">
        <f t="shared" si="2"/>
        <v>1</v>
      </c>
      <c r="I37" s="224"/>
      <c r="J37" s="386"/>
    </row>
    <row r="38" spans="1:10" ht="21.75" customHeight="1">
      <c r="A38" s="236" t="s">
        <v>269</v>
      </c>
      <c r="B38" s="29">
        <v>138</v>
      </c>
      <c r="C38" s="29">
        <v>138</v>
      </c>
      <c r="D38" s="29">
        <f>C38-B38</f>
        <v>0</v>
      </c>
      <c r="E38" s="36">
        <f>C38/B38</f>
        <v>1</v>
      </c>
      <c r="F38" s="228">
        <v>632489.32</v>
      </c>
      <c r="G38" s="228">
        <v>632489.32</v>
      </c>
      <c r="H38" s="227">
        <f t="shared" si="2"/>
        <v>1</v>
      </c>
      <c r="I38" s="224"/>
      <c r="J38" s="386"/>
    </row>
    <row r="39" spans="1:10" ht="19.5" customHeight="1">
      <c r="A39" s="236" t="s">
        <v>270</v>
      </c>
      <c r="B39" s="29">
        <v>59</v>
      </c>
      <c r="C39" s="29">
        <v>59</v>
      </c>
      <c r="D39" s="29">
        <f>C39-B39</f>
        <v>0</v>
      </c>
      <c r="E39" s="36">
        <f>C39/B39</f>
        <v>1</v>
      </c>
      <c r="F39" s="228">
        <v>264484.28</v>
      </c>
      <c r="G39" s="4">
        <v>264484.28</v>
      </c>
      <c r="H39" s="227">
        <f t="shared" si="2"/>
        <v>1</v>
      </c>
      <c r="I39" s="224"/>
      <c r="J39" s="386"/>
    </row>
    <row r="40" spans="1:10" ht="21" customHeight="1">
      <c r="A40" s="236" t="s">
        <v>431</v>
      </c>
      <c r="B40" s="29">
        <v>7</v>
      </c>
      <c r="C40" s="29">
        <v>7</v>
      </c>
      <c r="D40" s="29">
        <f>C40-B40</f>
        <v>0</v>
      </c>
      <c r="E40" s="36">
        <f>C40/B40</f>
        <v>1</v>
      </c>
      <c r="F40" s="228">
        <v>35902.85</v>
      </c>
      <c r="G40" s="228">
        <v>35902.85</v>
      </c>
      <c r="H40" s="227">
        <f t="shared" si="2"/>
        <v>1</v>
      </c>
      <c r="I40" s="224"/>
      <c r="J40" s="386"/>
    </row>
    <row r="41" spans="1:10" ht="28.5" customHeight="1">
      <c r="A41" s="170" t="s">
        <v>561</v>
      </c>
      <c r="B41" s="29"/>
      <c r="C41" s="29"/>
      <c r="D41" s="29"/>
      <c r="E41" s="36"/>
      <c r="F41" s="228">
        <v>148702.4</v>
      </c>
      <c r="G41" s="228">
        <v>148702.4</v>
      </c>
      <c r="H41" s="227">
        <f t="shared" si="2"/>
        <v>1</v>
      </c>
      <c r="I41" s="224"/>
      <c r="J41" s="386"/>
    </row>
    <row r="42" spans="1:10" ht="38.25">
      <c r="A42" s="170" t="s">
        <v>359</v>
      </c>
      <c r="B42" s="29"/>
      <c r="C42" s="29"/>
      <c r="D42" s="29"/>
      <c r="E42" s="36"/>
      <c r="F42" s="228">
        <v>480970</v>
      </c>
      <c r="G42" s="228">
        <v>480970</v>
      </c>
      <c r="H42" s="227">
        <f t="shared" si="2"/>
        <v>1</v>
      </c>
      <c r="I42" s="229"/>
      <c r="J42" s="382"/>
    </row>
    <row r="43" spans="1:10" ht="26.25" customHeight="1">
      <c r="A43" s="170" t="s">
        <v>360</v>
      </c>
      <c r="B43" s="29">
        <v>20</v>
      </c>
      <c r="C43" s="29">
        <v>20</v>
      </c>
      <c r="D43" s="29">
        <f>B43-C43</f>
        <v>0</v>
      </c>
      <c r="E43" s="36">
        <f>C43/B43</f>
        <v>1</v>
      </c>
      <c r="F43" s="228"/>
      <c r="G43" s="228"/>
      <c r="H43" s="228"/>
      <c r="I43" s="229"/>
      <c r="J43" s="72"/>
    </row>
    <row r="44" spans="1:10" ht="12.75">
      <c r="A44" s="106" t="s">
        <v>361</v>
      </c>
      <c r="B44" s="310">
        <f>B36+B43</f>
        <v>240</v>
      </c>
      <c r="C44" s="310">
        <f>C36+C43</f>
        <v>240</v>
      </c>
      <c r="D44" s="311">
        <f>C44-B44</f>
        <v>0</v>
      </c>
      <c r="E44" s="111">
        <f>C44/B44</f>
        <v>1</v>
      </c>
      <c r="F44" s="56">
        <f>F35</f>
        <v>1657968.5899999999</v>
      </c>
      <c r="G44" s="56">
        <f>G35</f>
        <v>1657968.5899999999</v>
      </c>
      <c r="H44" s="111">
        <f>G44/F44</f>
        <v>1</v>
      </c>
      <c r="I44" s="111">
        <f>E44/H44</f>
        <v>1</v>
      </c>
      <c r="J44" s="383"/>
    </row>
    <row r="45" spans="1:10" ht="12.75">
      <c r="A45" s="556" t="s">
        <v>739</v>
      </c>
      <c r="B45" s="556"/>
      <c r="C45" s="556"/>
      <c r="D45" s="556"/>
      <c r="E45" s="556"/>
      <c r="F45" s="556"/>
      <c r="G45" s="556"/>
      <c r="H45" s="556"/>
      <c r="I45" s="556"/>
      <c r="J45" s="556"/>
    </row>
    <row r="46" spans="1:10" ht="51">
      <c r="A46" s="299" t="s">
        <v>457</v>
      </c>
      <c r="B46" s="225"/>
      <c r="C46" s="225"/>
      <c r="D46" s="231"/>
      <c r="E46" s="232"/>
      <c r="F46" s="231"/>
      <c r="G46" s="231"/>
      <c r="H46" s="223"/>
      <c r="I46" s="232"/>
      <c r="J46" s="27"/>
    </row>
    <row r="47" spans="1:10" ht="12.75" customHeight="1">
      <c r="A47" s="299" t="s">
        <v>364</v>
      </c>
      <c r="B47" s="312"/>
      <c r="C47" s="312"/>
      <c r="D47" s="313"/>
      <c r="E47" s="314"/>
      <c r="F47" s="313">
        <v>127039459.88</v>
      </c>
      <c r="G47" s="313">
        <v>127039459.88</v>
      </c>
      <c r="H47" s="227">
        <f>G47/F47</f>
        <v>1</v>
      </c>
      <c r="I47" s="314"/>
      <c r="J47" s="387"/>
    </row>
    <row r="48" spans="1:10" ht="27" customHeight="1">
      <c r="A48" s="20" t="s">
        <v>186</v>
      </c>
      <c r="B48" s="29">
        <v>108.4</v>
      </c>
      <c r="C48" s="29">
        <v>108.4</v>
      </c>
      <c r="D48" s="29">
        <f>C48-B48</f>
        <v>0</v>
      </c>
      <c r="E48" s="36">
        <f>C48/B48</f>
        <v>1</v>
      </c>
      <c r="F48" s="313"/>
      <c r="G48" s="313"/>
      <c r="H48" s="229"/>
      <c r="I48" s="314"/>
      <c r="J48" s="387"/>
    </row>
    <row r="49" spans="1:10" ht="27" customHeight="1">
      <c r="A49" s="299" t="s">
        <v>365</v>
      </c>
      <c r="B49" s="312"/>
      <c r="C49" s="312"/>
      <c r="D49" s="313"/>
      <c r="E49" s="314"/>
      <c r="F49" s="313">
        <v>269733</v>
      </c>
      <c r="G49" s="313">
        <v>269733</v>
      </c>
      <c r="H49" s="227">
        <f>G49/F49</f>
        <v>1</v>
      </c>
      <c r="I49" s="314"/>
      <c r="J49" s="387"/>
    </row>
    <row r="50" spans="1:10" ht="42" customHeight="1">
      <c r="A50" s="20" t="s">
        <v>366</v>
      </c>
      <c r="B50" s="29">
        <v>1</v>
      </c>
      <c r="C50" s="29">
        <v>1</v>
      </c>
      <c r="D50" s="29">
        <f>C50-B50</f>
        <v>0</v>
      </c>
      <c r="E50" s="36">
        <f>C50/B50</f>
        <v>1</v>
      </c>
      <c r="F50" s="313"/>
      <c r="G50" s="313"/>
      <c r="H50" s="314"/>
      <c r="I50" s="314"/>
      <c r="J50" s="387"/>
    </row>
    <row r="51" spans="1:10" ht="12.75">
      <c r="A51" s="106" t="s">
        <v>367</v>
      </c>
      <c r="B51" s="315">
        <f>B48+B50</f>
        <v>109.4</v>
      </c>
      <c r="C51" s="315">
        <f>C48+C50</f>
        <v>109.4</v>
      </c>
      <c r="D51" s="311">
        <f>C51-B51</f>
        <v>0</v>
      </c>
      <c r="E51" s="111">
        <f>C51/B51</f>
        <v>1</v>
      </c>
      <c r="F51" s="56">
        <f>F47+F49</f>
        <v>127309192.88</v>
      </c>
      <c r="G51" s="56">
        <f>G47+G49</f>
        <v>127309192.88</v>
      </c>
      <c r="H51" s="111">
        <f>G51/F51</f>
        <v>1</v>
      </c>
      <c r="I51" s="111">
        <f>E51/H51</f>
        <v>1</v>
      </c>
      <c r="J51" s="388"/>
    </row>
    <row r="52" spans="1:10" ht="51">
      <c r="A52" s="299" t="s">
        <v>368</v>
      </c>
      <c r="B52" s="230"/>
      <c r="C52" s="230"/>
      <c r="D52" s="231"/>
      <c r="E52" s="232"/>
      <c r="F52" s="4"/>
      <c r="G52" s="4"/>
      <c r="H52" s="227"/>
      <c r="I52" s="232"/>
      <c r="J52" s="389"/>
    </row>
    <row r="53" spans="1:10" ht="25.5" customHeight="1">
      <c r="A53" s="299" t="s">
        <v>369</v>
      </c>
      <c r="B53" s="225"/>
      <c r="C53" s="225"/>
      <c r="D53" s="228"/>
      <c r="E53" s="229"/>
      <c r="F53" s="4">
        <v>692983.15</v>
      </c>
      <c r="G53" s="4">
        <v>692983.15</v>
      </c>
      <c r="H53" s="227">
        <f>G53/F53</f>
        <v>1</v>
      </c>
      <c r="I53" s="229"/>
      <c r="J53" s="387"/>
    </row>
    <row r="54" spans="1:10" ht="19.5" customHeight="1">
      <c r="A54" s="20" t="s">
        <v>591</v>
      </c>
      <c r="B54" s="225">
        <v>373.213</v>
      </c>
      <c r="C54" s="225">
        <v>373.213</v>
      </c>
      <c r="D54" s="228">
        <f>C54-B54</f>
        <v>0</v>
      </c>
      <c r="E54" s="229">
        <f>C54/B54</f>
        <v>1</v>
      </c>
      <c r="F54" s="228"/>
      <c r="G54" s="228"/>
      <c r="H54" s="229"/>
      <c r="I54" s="229"/>
      <c r="J54" s="387"/>
    </row>
    <row r="55" spans="1:10" ht="12.75">
      <c r="A55" s="106" t="s">
        <v>370</v>
      </c>
      <c r="B55" s="111">
        <f>SUM(B54:B54)</f>
        <v>373.213</v>
      </c>
      <c r="C55" s="111">
        <f>SUM(C54:C54)</f>
        <v>373.213</v>
      </c>
      <c r="D55" s="311">
        <f>C55-B55</f>
        <v>0</v>
      </c>
      <c r="E55" s="111">
        <f>C55/B55</f>
        <v>1</v>
      </c>
      <c r="F55" s="56">
        <f>F53</f>
        <v>692983.15</v>
      </c>
      <c r="G55" s="56">
        <f>G53</f>
        <v>692983.15</v>
      </c>
      <c r="H55" s="111">
        <f>G55/F55</f>
        <v>1</v>
      </c>
      <c r="I55" s="111">
        <f>E55/H55</f>
        <v>1</v>
      </c>
      <c r="J55" s="388"/>
    </row>
    <row r="56" spans="1:10" ht="12.75">
      <c r="A56" s="475" t="s">
        <v>741</v>
      </c>
      <c r="B56" s="110"/>
      <c r="C56" s="110"/>
      <c r="D56" s="114"/>
      <c r="E56" s="110"/>
      <c r="F56" s="56"/>
      <c r="G56" s="56"/>
      <c r="H56" s="111"/>
      <c r="I56" s="111"/>
      <c r="J56" s="388"/>
    </row>
    <row r="57" spans="1:10" ht="126" customHeight="1">
      <c r="A57" s="1" t="s">
        <v>371</v>
      </c>
      <c r="B57" s="231"/>
      <c r="C57" s="233"/>
      <c r="D57" s="231"/>
      <c r="E57" s="232"/>
      <c r="F57" s="231"/>
      <c r="G57" s="231"/>
      <c r="H57" s="223"/>
      <c r="I57" s="232"/>
      <c r="J57" s="390"/>
    </row>
    <row r="58" spans="1:10" ht="26.25" customHeight="1">
      <c r="A58" s="20" t="s">
        <v>372</v>
      </c>
      <c r="B58" s="234"/>
      <c r="C58" s="234"/>
      <c r="D58" s="228"/>
      <c r="E58" s="227"/>
      <c r="F58" s="228">
        <v>83000</v>
      </c>
      <c r="G58" s="228">
        <v>83000</v>
      </c>
      <c r="H58" s="229"/>
      <c r="I58" s="229"/>
      <c r="J58" s="391"/>
    </row>
    <row r="59" spans="1:10" ht="49.5" customHeight="1">
      <c r="A59" s="20" t="s">
        <v>373</v>
      </c>
      <c r="B59" s="234">
        <v>1</v>
      </c>
      <c r="C59" s="234">
        <v>1</v>
      </c>
      <c r="D59" s="228">
        <f>C59-B59</f>
        <v>0</v>
      </c>
      <c r="E59" s="229">
        <f>C59/B59</f>
        <v>1</v>
      </c>
      <c r="F59" s="228"/>
      <c r="G59" s="228"/>
      <c r="H59" s="229"/>
      <c r="I59" s="229"/>
      <c r="J59" s="391"/>
    </row>
    <row r="60" spans="1:12" ht="12.75">
      <c r="A60" s="106" t="s">
        <v>382</v>
      </c>
      <c r="B60" s="315">
        <f>B59</f>
        <v>1</v>
      </c>
      <c r="C60" s="315">
        <f>C59</f>
        <v>1</v>
      </c>
      <c r="D60" s="311"/>
      <c r="E60" s="111"/>
      <c r="F60" s="56">
        <f>F58</f>
        <v>83000</v>
      </c>
      <c r="G60" s="56">
        <f>G58</f>
        <v>83000</v>
      </c>
      <c r="H60" s="111"/>
      <c r="I60" s="111"/>
      <c r="J60" s="388"/>
      <c r="L60" s="28"/>
    </row>
    <row r="61" spans="1:12" ht="15.75" customHeight="1">
      <c r="A61" s="1" t="s">
        <v>374</v>
      </c>
      <c r="B61" s="231"/>
      <c r="C61" s="233"/>
      <c r="D61" s="231"/>
      <c r="E61" s="232"/>
      <c r="F61" s="56">
        <v>100000</v>
      </c>
      <c r="G61" s="56">
        <v>100000</v>
      </c>
      <c r="H61" s="232"/>
      <c r="I61" s="232"/>
      <c r="J61" s="390"/>
      <c r="L61" s="254"/>
    </row>
    <row r="62" spans="1:12" ht="25.5">
      <c r="A62" s="20" t="s">
        <v>375</v>
      </c>
      <c r="B62" s="234">
        <v>1</v>
      </c>
      <c r="C62" s="234">
        <v>1</v>
      </c>
      <c r="D62" s="228">
        <f>C62-B62</f>
        <v>0</v>
      </c>
      <c r="E62" s="229">
        <f>C62/B62</f>
        <v>1</v>
      </c>
      <c r="F62" s="228"/>
      <c r="G62" s="228"/>
      <c r="H62" s="227"/>
      <c r="I62" s="229"/>
      <c r="J62" s="391"/>
      <c r="L62" s="254"/>
    </row>
    <row r="63" spans="1:12" ht="12.75">
      <c r="A63" s="106" t="s">
        <v>376</v>
      </c>
      <c r="B63" s="315">
        <f>B62</f>
        <v>1</v>
      </c>
      <c r="C63" s="315">
        <f>C62</f>
        <v>1</v>
      </c>
      <c r="D63" s="311">
        <f>C63-B63</f>
        <v>0</v>
      </c>
      <c r="E63" s="111">
        <f>C63/B63</f>
        <v>1</v>
      </c>
      <c r="F63" s="56">
        <f>F61</f>
        <v>100000</v>
      </c>
      <c r="G63" s="56">
        <f>G61</f>
        <v>100000</v>
      </c>
      <c r="H63" s="111">
        <f>G63/F63</f>
        <v>1</v>
      </c>
      <c r="I63" s="111">
        <f>E63/H63</f>
        <v>1</v>
      </c>
      <c r="J63" s="388"/>
      <c r="L63" s="254"/>
    </row>
    <row r="64" spans="1:12" ht="25.5">
      <c r="A64" s="1" t="s">
        <v>377</v>
      </c>
      <c r="B64" s="1"/>
      <c r="C64" s="1"/>
      <c r="D64" s="1"/>
      <c r="E64" s="1"/>
      <c r="F64" s="1"/>
      <c r="G64" s="1"/>
      <c r="H64" s="1"/>
      <c r="I64" s="1"/>
      <c r="J64" s="1"/>
      <c r="L64" s="254"/>
    </row>
    <row r="65" spans="1:12" ht="25.5">
      <c r="A65" s="1" t="s">
        <v>669</v>
      </c>
      <c r="B65" s="228"/>
      <c r="C65" s="235"/>
      <c r="D65" s="228"/>
      <c r="E65" s="229"/>
      <c r="F65" s="228">
        <v>24496644.2</v>
      </c>
      <c r="G65" s="228">
        <v>24496644.2</v>
      </c>
      <c r="H65" s="227">
        <f>G65/F65</f>
        <v>1</v>
      </c>
      <c r="I65" s="229"/>
      <c r="J65" s="391"/>
      <c r="L65" s="254"/>
    </row>
    <row r="66" spans="1:12" ht="76.5">
      <c r="A66" s="20" t="s">
        <v>378</v>
      </c>
      <c r="B66" s="317" t="s">
        <v>379</v>
      </c>
      <c r="C66" s="317" t="s">
        <v>379</v>
      </c>
      <c r="D66" s="228">
        <f>C66-B66</f>
        <v>0</v>
      </c>
      <c r="E66" s="229">
        <f>C66/B66</f>
        <v>1</v>
      </c>
      <c r="F66" s="228"/>
      <c r="G66" s="228"/>
      <c r="H66" s="229"/>
      <c r="I66" s="229"/>
      <c r="J66" s="391"/>
      <c r="L66" s="255"/>
    </row>
    <row r="67" spans="1:12" ht="12.75">
      <c r="A67" s="106" t="s">
        <v>380</v>
      </c>
      <c r="B67" s="319" t="str">
        <f>B66</f>
        <v>23,7</v>
      </c>
      <c r="C67" s="319" t="str">
        <f>C66</f>
        <v>23,7</v>
      </c>
      <c r="D67" s="311">
        <f>C67-B67</f>
        <v>0</v>
      </c>
      <c r="E67" s="111">
        <f>C67/B67</f>
        <v>1</v>
      </c>
      <c r="F67" s="56">
        <f>F65</f>
        <v>24496644.2</v>
      </c>
      <c r="G67" s="56">
        <f>G65</f>
        <v>24496644.2</v>
      </c>
      <c r="H67" s="111">
        <f>G67/F67</f>
        <v>1</v>
      </c>
      <c r="I67" s="111">
        <f>E67/H67</f>
        <v>1</v>
      </c>
      <c r="J67" s="388"/>
      <c r="L67" s="254"/>
    </row>
    <row r="68" spans="1:13" ht="12.75">
      <c r="A68" s="140" t="s">
        <v>383</v>
      </c>
      <c r="B68" s="256">
        <f>B21+B34+B44+B51+B55+B60+B63+B67</f>
        <v>8666.313</v>
      </c>
      <c r="C68" s="256">
        <f>C21+C34+C44+C51+C55+C60+C63+C67</f>
        <v>8666.313</v>
      </c>
      <c r="D68" s="320">
        <f>C68-B68</f>
        <v>0</v>
      </c>
      <c r="E68" s="321">
        <f>C68/B68</f>
        <v>1</v>
      </c>
      <c r="F68" s="256">
        <f>F21+F34+F44+F51+F55+F60+F63+F67</f>
        <v>205679639.92</v>
      </c>
      <c r="G68" s="256">
        <f>G21+G34+G44+G51+G55+G60+G63+G67</f>
        <v>205679639.92</v>
      </c>
      <c r="H68" s="257">
        <f>G68/F68</f>
        <v>1</v>
      </c>
      <c r="I68" s="257">
        <f>E68/H68</f>
        <v>1</v>
      </c>
      <c r="J68" s="392"/>
      <c r="K68" s="238"/>
      <c r="L68" s="254"/>
      <c r="M68" s="73"/>
    </row>
    <row r="69" spans="1:13" ht="25.5">
      <c r="A69" s="106" t="s">
        <v>759</v>
      </c>
      <c r="B69" s="32"/>
      <c r="C69" s="32"/>
      <c r="D69" s="32"/>
      <c r="E69" s="33"/>
      <c r="F69" s="36">
        <f>F68/F885</f>
        <v>0.08112352815576895</v>
      </c>
      <c r="G69" s="36">
        <f>G68/G885</f>
        <v>0.08199308917344798</v>
      </c>
      <c r="H69" s="111"/>
      <c r="I69" s="111"/>
      <c r="J69" s="388"/>
      <c r="K69" s="238"/>
      <c r="L69" s="254"/>
      <c r="M69" s="73"/>
    </row>
    <row r="70" spans="1:12" ht="19.5" customHeight="1">
      <c r="A70" s="568" t="s">
        <v>200</v>
      </c>
      <c r="B70" s="568"/>
      <c r="C70" s="568"/>
      <c r="D70" s="568"/>
      <c r="E70" s="568"/>
      <c r="F70" s="568"/>
      <c r="G70" s="568"/>
      <c r="H70" s="568"/>
      <c r="I70" s="568"/>
      <c r="J70" s="568"/>
      <c r="L70" s="254"/>
    </row>
    <row r="71" spans="1:12" ht="114.75">
      <c r="A71" s="1" t="s">
        <v>555</v>
      </c>
      <c r="B71" s="5"/>
      <c r="C71" s="5"/>
      <c r="D71" s="5"/>
      <c r="E71" s="3"/>
      <c r="F71" s="4">
        <v>250000</v>
      </c>
      <c r="G71" s="4">
        <v>244452</v>
      </c>
      <c r="H71" s="3">
        <f>G71/F71</f>
        <v>0.977808</v>
      </c>
      <c r="I71" s="3"/>
      <c r="J71" s="385" t="s">
        <v>556</v>
      </c>
      <c r="L71" s="254"/>
    </row>
    <row r="72" spans="1:12" ht="25.5">
      <c r="A72" s="106" t="s">
        <v>287</v>
      </c>
      <c r="B72" s="30">
        <v>554</v>
      </c>
      <c r="C72" s="30">
        <v>551</v>
      </c>
      <c r="D72" s="30">
        <f>C72-B72</f>
        <v>-3</v>
      </c>
      <c r="E72" s="31">
        <f>B72/C72</f>
        <v>1.0054446460980035</v>
      </c>
      <c r="F72" s="49"/>
      <c r="G72" s="49"/>
      <c r="H72" s="31"/>
      <c r="I72" s="31"/>
      <c r="J72" s="22"/>
      <c r="L72" s="254"/>
    </row>
    <row r="73" spans="1:12" ht="25.5">
      <c r="A73" s="136" t="s">
        <v>288</v>
      </c>
      <c r="B73" s="30">
        <v>270</v>
      </c>
      <c r="C73" s="30">
        <v>173</v>
      </c>
      <c r="D73" s="30">
        <f>C73-B73</f>
        <v>-97</v>
      </c>
      <c r="E73" s="31">
        <f>B73/C73</f>
        <v>1.560693641618497</v>
      </c>
      <c r="F73" s="49"/>
      <c r="G73" s="49"/>
      <c r="H73" s="31"/>
      <c r="I73" s="31"/>
      <c r="J73" s="22"/>
      <c r="L73" s="254"/>
    </row>
    <row r="74" spans="1:12" ht="38.25">
      <c r="A74" s="136" t="s">
        <v>289</v>
      </c>
      <c r="B74" s="30">
        <v>149</v>
      </c>
      <c r="C74" s="30">
        <v>158</v>
      </c>
      <c r="D74" s="30">
        <f>C74-B74</f>
        <v>9</v>
      </c>
      <c r="E74" s="31">
        <f>B74/C74</f>
        <v>0.9430379746835443</v>
      </c>
      <c r="F74" s="49"/>
      <c r="G74" s="49"/>
      <c r="H74" s="31"/>
      <c r="I74" s="31"/>
      <c r="J74" s="22"/>
      <c r="L74" s="254"/>
    </row>
    <row r="75" spans="1:12" ht="25.5">
      <c r="A75" s="136" t="s">
        <v>290</v>
      </c>
      <c r="B75" s="30">
        <v>25</v>
      </c>
      <c r="C75" s="30">
        <v>32</v>
      </c>
      <c r="D75" s="30">
        <f>C75-B75</f>
        <v>7</v>
      </c>
      <c r="E75" s="31">
        <f>B75/C75</f>
        <v>0.78125</v>
      </c>
      <c r="F75" s="49"/>
      <c r="G75" s="49"/>
      <c r="H75" s="31"/>
      <c r="I75" s="31"/>
      <c r="J75" s="22"/>
      <c r="L75" s="254"/>
    </row>
    <row r="76" spans="1:12" ht="12.75">
      <c r="A76" s="140" t="s">
        <v>572</v>
      </c>
      <c r="B76" s="489">
        <f>SUM(B72:B75)</f>
        <v>998</v>
      </c>
      <c r="C76" s="489">
        <f>SUM(C72:C75)</f>
        <v>914</v>
      </c>
      <c r="D76" s="140">
        <f>C76-B76</f>
        <v>-84</v>
      </c>
      <c r="E76" s="141">
        <f>(E72+E73+E74+E75)/4</f>
        <v>1.0726065656000112</v>
      </c>
      <c r="F76" s="256">
        <f>SUM(F71:F75)</f>
        <v>250000</v>
      </c>
      <c r="G76" s="256">
        <f>SUM(G71:G75)</f>
        <v>244452</v>
      </c>
      <c r="H76" s="257">
        <f>G76/F76</f>
        <v>0.977808</v>
      </c>
      <c r="I76" s="257">
        <f>E76/H76</f>
        <v>1.0969500818156643</v>
      </c>
      <c r="J76" s="392"/>
      <c r="L76" s="254"/>
    </row>
    <row r="77" spans="1:12" ht="25.5">
      <c r="A77" s="106" t="s">
        <v>759</v>
      </c>
      <c r="B77" s="32"/>
      <c r="C77" s="32"/>
      <c r="D77" s="32"/>
      <c r="E77" s="33"/>
      <c r="F77" s="113">
        <f>F76/F885</f>
        <v>9.86042276563231E-05</v>
      </c>
      <c r="G77" s="113">
        <f>G76/G885</f>
        <v>9.744948329559341E-05</v>
      </c>
      <c r="H77" s="42"/>
      <c r="I77" s="42"/>
      <c r="J77" s="381"/>
      <c r="L77" s="255"/>
    </row>
    <row r="78" spans="1:10" ht="12.75" customHeight="1">
      <c r="A78" s="537" t="s">
        <v>384</v>
      </c>
      <c r="B78" s="537"/>
      <c r="C78" s="537"/>
      <c r="D78" s="537"/>
      <c r="E78" s="537"/>
      <c r="F78" s="537"/>
      <c r="G78" s="537"/>
      <c r="H78" s="537"/>
      <c r="I78" s="537"/>
      <c r="J78" s="537"/>
    </row>
    <row r="79" spans="1:10" ht="12.75">
      <c r="A79" s="556" t="s">
        <v>86</v>
      </c>
      <c r="B79" s="556"/>
      <c r="C79" s="556"/>
      <c r="D79" s="556"/>
      <c r="E79" s="556"/>
      <c r="F79" s="556"/>
      <c r="G79" s="556"/>
      <c r="H79" s="556"/>
      <c r="I79" s="556"/>
      <c r="J79" s="556"/>
    </row>
    <row r="80" spans="1:10" ht="63.75">
      <c r="A80" s="207" t="s">
        <v>557</v>
      </c>
      <c r="B80" s="10"/>
      <c r="C80" s="10"/>
      <c r="D80" s="10"/>
      <c r="E80" s="10"/>
      <c r="F80" s="161">
        <v>1752287.45</v>
      </c>
      <c r="G80" s="10">
        <f>F80</f>
        <v>1752287.45</v>
      </c>
      <c r="H80" s="4">
        <f>G80/F80</f>
        <v>1</v>
      </c>
      <c r="I80" s="4"/>
      <c r="J80" s="393"/>
    </row>
    <row r="81" spans="1:10" ht="63.75">
      <c r="A81" s="207" t="s">
        <v>558</v>
      </c>
      <c r="B81" s="10"/>
      <c r="C81" s="10"/>
      <c r="D81" s="10"/>
      <c r="E81" s="10"/>
      <c r="F81" s="161">
        <v>240000</v>
      </c>
      <c r="G81" s="10">
        <v>240000</v>
      </c>
      <c r="H81" s="4">
        <f>G81/F81</f>
        <v>1</v>
      </c>
      <c r="I81" s="4"/>
      <c r="J81" s="393"/>
    </row>
    <row r="82" spans="1:10" ht="28.5" customHeight="1">
      <c r="A82" s="207" t="s">
        <v>559</v>
      </c>
      <c r="B82" s="10"/>
      <c r="C82" s="10"/>
      <c r="D82" s="10"/>
      <c r="E82" s="10"/>
      <c r="F82" s="161">
        <v>64457947.19</v>
      </c>
      <c r="G82" s="10">
        <f>F82</f>
        <v>64457947.19</v>
      </c>
      <c r="H82" s="4">
        <f>G82/F82</f>
        <v>1</v>
      </c>
      <c r="I82" s="4"/>
      <c r="J82" s="393"/>
    </row>
    <row r="83" spans="1:10" ht="12.75" customHeight="1">
      <c r="A83" s="207" t="s">
        <v>171</v>
      </c>
      <c r="B83" s="10"/>
      <c r="C83" s="10"/>
      <c r="D83" s="10"/>
      <c r="E83" s="10"/>
      <c r="F83" s="161">
        <v>445934</v>
      </c>
      <c r="G83" s="10">
        <v>445934</v>
      </c>
      <c r="H83" s="4">
        <f>G83/F83</f>
        <v>1</v>
      </c>
      <c r="I83" s="4"/>
      <c r="J83" s="393"/>
    </row>
    <row r="84" spans="1:10" ht="76.5" customHeight="1">
      <c r="A84" s="207" t="s">
        <v>172</v>
      </c>
      <c r="B84" s="29">
        <v>43.06</v>
      </c>
      <c r="C84" s="29">
        <v>43.06</v>
      </c>
      <c r="D84" s="29">
        <f>SUM(C84-B84)</f>
        <v>0</v>
      </c>
      <c r="E84" s="36">
        <f>C84/B84</f>
        <v>1</v>
      </c>
      <c r="F84" s="10"/>
      <c r="G84" s="10"/>
      <c r="H84" s="4"/>
      <c r="I84" s="4"/>
      <c r="J84" s="393"/>
    </row>
    <row r="85" spans="1:10" ht="63" customHeight="1">
      <c r="A85" s="207" t="s">
        <v>173</v>
      </c>
      <c r="B85" s="29">
        <v>9.5</v>
      </c>
      <c r="C85" s="29">
        <v>9.5</v>
      </c>
      <c r="D85" s="29">
        <f aca="true" t="shared" si="3" ref="D85:D100">SUM(C85-B85)</f>
        <v>0</v>
      </c>
      <c r="E85" s="36">
        <f aca="true" t="shared" si="4" ref="E85:E100">SUM(C85/B85)</f>
        <v>1</v>
      </c>
      <c r="F85" s="10"/>
      <c r="G85" s="10"/>
      <c r="H85" s="4"/>
      <c r="I85" s="4"/>
      <c r="J85" s="393"/>
    </row>
    <row r="86" spans="1:10" ht="51">
      <c r="A86" s="207" t="s">
        <v>458</v>
      </c>
      <c r="B86" s="29">
        <v>68.55</v>
      </c>
      <c r="C86" s="29">
        <v>68.55</v>
      </c>
      <c r="D86" s="29">
        <f t="shared" si="3"/>
        <v>0</v>
      </c>
      <c r="E86" s="36">
        <f t="shared" si="4"/>
        <v>1</v>
      </c>
      <c r="F86" s="10"/>
      <c r="G86" s="10"/>
      <c r="H86" s="4"/>
      <c r="I86" s="4"/>
      <c r="J86" s="393"/>
    </row>
    <row r="87" spans="1:10" ht="38.25">
      <c r="A87" s="207" t="s">
        <v>175</v>
      </c>
      <c r="B87" s="29">
        <v>57.1</v>
      </c>
      <c r="C87" s="29">
        <v>57.1</v>
      </c>
      <c r="D87" s="29">
        <f t="shared" si="3"/>
        <v>0</v>
      </c>
      <c r="E87" s="36">
        <f t="shared" si="4"/>
        <v>1</v>
      </c>
      <c r="F87" s="10"/>
      <c r="G87" s="10"/>
      <c r="H87" s="4"/>
      <c r="I87" s="4"/>
      <c r="J87" s="393"/>
    </row>
    <row r="88" spans="1:10" ht="37.5" customHeight="1">
      <c r="A88" s="61" t="s">
        <v>176</v>
      </c>
      <c r="B88" s="29">
        <v>326</v>
      </c>
      <c r="C88" s="29">
        <v>326</v>
      </c>
      <c r="D88" s="29">
        <f t="shared" si="3"/>
        <v>0</v>
      </c>
      <c r="E88" s="36">
        <f t="shared" si="4"/>
        <v>1</v>
      </c>
      <c r="F88" s="10"/>
      <c r="G88" s="10"/>
      <c r="H88" s="4"/>
      <c r="I88" s="4"/>
      <c r="J88" s="393"/>
    </row>
    <row r="89" spans="1:10" ht="38.25">
      <c r="A89" s="207" t="s">
        <v>459</v>
      </c>
      <c r="B89" s="29">
        <v>3</v>
      </c>
      <c r="C89" s="29">
        <v>3</v>
      </c>
      <c r="D89" s="29">
        <f t="shared" si="3"/>
        <v>0</v>
      </c>
      <c r="E89" s="36">
        <f t="shared" si="4"/>
        <v>1</v>
      </c>
      <c r="F89" s="10"/>
      <c r="G89" s="10"/>
      <c r="H89" s="4"/>
      <c r="I89" s="4"/>
      <c r="J89" s="393"/>
    </row>
    <row r="90" spans="1:10" ht="38.25">
      <c r="A90" s="207" t="s">
        <v>460</v>
      </c>
      <c r="B90" s="29">
        <v>17283</v>
      </c>
      <c r="C90" s="29">
        <v>17283</v>
      </c>
      <c r="D90" s="29">
        <f t="shared" si="3"/>
        <v>0</v>
      </c>
      <c r="E90" s="36">
        <f t="shared" si="4"/>
        <v>1</v>
      </c>
      <c r="F90" s="10"/>
      <c r="G90" s="10"/>
      <c r="H90" s="4"/>
      <c r="I90" s="4"/>
      <c r="J90" s="393"/>
    </row>
    <row r="91" spans="1:10" ht="38.25">
      <c r="A91" s="207" t="s">
        <v>177</v>
      </c>
      <c r="B91" s="29">
        <v>130</v>
      </c>
      <c r="C91" s="29">
        <v>130</v>
      </c>
      <c r="D91" s="29">
        <f t="shared" si="3"/>
        <v>0</v>
      </c>
      <c r="E91" s="36">
        <f t="shared" si="4"/>
        <v>1</v>
      </c>
      <c r="F91" s="10"/>
      <c r="G91" s="10"/>
      <c r="H91" s="4"/>
      <c r="I91" s="4"/>
      <c r="J91" s="393"/>
    </row>
    <row r="92" spans="1:10" ht="51">
      <c r="A92" s="207" t="s">
        <v>461</v>
      </c>
      <c r="B92" s="29">
        <v>55</v>
      </c>
      <c r="C92" s="29">
        <v>55</v>
      </c>
      <c r="D92" s="29">
        <f t="shared" si="3"/>
        <v>0</v>
      </c>
      <c r="E92" s="36">
        <f t="shared" si="4"/>
        <v>1</v>
      </c>
      <c r="F92" s="10"/>
      <c r="G92" s="10"/>
      <c r="H92" s="4"/>
      <c r="I92" s="4"/>
      <c r="J92" s="393"/>
    </row>
    <row r="93" spans="1:10" ht="63.75">
      <c r="A93" s="207" t="s">
        <v>613</v>
      </c>
      <c r="B93" s="29">
        <v>33.14</v>
      </c>
      <c r="C93" s="29">
        <v>33.14</v>
      </c>
      <c r="D93" s="29">
        <f t="shared" si="3"/>
        <v>0</v>
      </c>
      <c r="E93" s="36">
        <f t="shared" si="4"/>
        <v>1</v>
      </c>
      <c r="F93" s="10"/>
      <c r="G93" s="10"/>
      <c r="H93" s="4"/>
      <c r="I93" s="4"/>
      <c r="J93" s="393"/>
    </row>
    <row r="94" spans="1:10" ht="63.75">
      <c r="A94" s="207" t="s">
        <v>614</v>
      </c>
      <c r="B94" s="29">
        <v>22.43</v>
      </c>
      <c r="C94" s="29">
        <v>22.43</v>
      </c>
      <c r="D94" s="29">
        <f t="shared" si="3"/>
        <v>0</v>
      </c>
      <c r="E94" s="36">
        <f t="shared" si="4"/>
        <v>1</v>
      </c>
      <c r="F94" s="10"/>
      <c r="G94" s="10"/>
      <c r="H94" s="4"/>
      <c r="I94" s="4"/>
      <c r="J94" s="393"/>
    </row>
    <row r="95" spans="1:10" ht="12.75">
      <c r="A95" s="207" t="s">
        <v>156</v>
      </c>
      <c r="B95" s="477">
        <v>7</v>
      </c>
      <c r="C95" s="476">
        <v>7</v>
      </c>
      <c r="D95" s="476">
        <f t="shared" si="3"/>
        <v>0</v>
      </c>
      <c r="E95" s="10">
        <f t="shared" si="4"/>
        <v>1</v>
      </c>
      <c r="F95" s="10"/>
      <c r="G95" s="10"/>
      <c r="H95" s="4"/>
      <c r="I95" s="4"/>
      <c r="J95" s="393"/>
    </row>
    <row r="96" spans="1:10" ht="25.5">
      <c r="A96" s="207" t="s">
        <v>256</v>
      </c>
      <c r="B96" s="29">
        <v>20.14</v>
      </c>
      <c r="C96" s="29">
        <v>20.14</v>
      </c>
      <c r="D96" s="29">
        <f t="shared" si="3"/>
        <v>0</v>
      </c>
      <c r="E96" s="36">
        <f t="shared" si="4"/>
        <v>1</v>
      </c>
      <c r="F96" s="10"/>
      <c r="G96" s="10"/>
      <c r="H96" s="4"/>
      <c r="I96" s="4"/>
      <c r="J96" s="393"/>
    </row>
    <row r="97" spans="1:10" ht="38.25">
      <c r="A97" s="207" t="s">
        <v>257</v>
      </c>
      <c r="B97" s="29">
        <v>891624</v>
      </c>
      <c r="C97" s="29">
        <v>891624</v>
      </c>
      <c r="D97" s="29">
        <f t="shared" si="3"/>
        <v>0</v>
      </c>
      <c r="E97" s="36">
        <f t="shared" si="4"/>
        <v>1</v>
      </c>
      <c r="F97" s="10"/>
      <c r="G97" s="10"/>
      <c r="H97" s="4"/>
      <c r="I97" s="4"/>
      <c r="J97" s="393"/>
    </row>
    <row r="98" spans="1:10" ht="38.25">
      <c r="A98" s="207" t="s">
        <v>258</v>
      </c>
      <c r="B98" s="29">
        <v>39.72</v>
      </c>
      <c r="C98" s="29">
        <v>39.72</v>
      </c>
      <c r="D98" s="29">
        <f t="shared" si="3"/>
        <v>0</v>
      </c>
      <c r="E98" s="36">
        <f t="shared" si="4"/>
        <v>1</v>
      </c>
      <c r="F98" s="10"/>
      <c r="G98" s="10"/>
      <c r="H98" s="4"/>
      <c r="I98" s="4"/>
      <c r="J98" s="393"/>
    </row>
    <row r="99" spans="1:10" ht="25.5">
      <c r="A99" s="207" t="s">
        <v>259</v>
      </c>
      <c r="B99" s="29">
        <v>5</v>
      </c>
      <c r="C99" s="29">
        <v>5</v>
      </c>
      <c r="D99" s="29">
        <f t="shared" si="3"/>
        <v>0</v>
      </c>
      <c r="E99" s="36">
        <f t="shared" si="4"/>
        <v>1</v>
      </c>
      <c r="F99" s="10"/>
      <c r="G99" s="10"/>
      <c r="H99" s="4"/>
      <c r="I99" s="4"/>
      <c r="J99" s="393"/>
    </row>
    <row r="100" spans="1:10" ht="25.5">
      <c r="A100" s="207" t="s">
        <v>260</v>
      </c>
      <c r="B100" s="29">
        <v>63</v>
      </c>
      <c r="C100" s="29">
        <v>63</v>
      </c>
      <c r="D100" s="29">
        <f t="shared" si="3"/>
        <v>0</v>
      </c>
      <c r="E100" s="36">
        <f t="shared" si="4"/>
        <v>1</v>
      </c>
      <c r="F100" s="10"/>
      <c r="G100" s="10"/>
      <c r="H100" s="4"/>
      <c r="I100" s="4"/>
      <c r="J100" s="393"/>
    </row>
    <row r="101" spans="1:10" ht="12.75" customHeight="1">
      <c r="A101" s="107" t="s">
        <v>548</v>
      </c>
      <c r="B101" s="117">
        <f>SUM(B84:B100)</f>
        <v>909789.64</v>
      </c>
      <c r="C101" s="117">
        <f>SUM(C84:C100)</f>
        <v>909789.64</v>
      </c>
      <c r="D101" s="117">
        <f>C101-B101</f>
        <v>0</v>
      </c>
      <c r="E101" s="33">
        <f>C101/B101</f>
        <v>1</v>
      </c>
      <c r="F101" s="34">
        <f>F80+F81+F82+F83</f>
        <v>66896168.64</v>
      </c>
      <c r="G101" s="34">
        <f>G80+G81+G82+G83</f>
        <v>66896168.64</v>
      </c>
      <c r="H101" s="33">
        <f>G101/F101</f>
        <v>1</v>
      </c>
      <c r="I101" s="33">
        <f>E101/H101</f>
        <v>1</v>
      </c>
      <c r="J101" s="394"/>
    </row>
    <row r="102" spans="1:13" s="160" customFormat="1" ht="12.75">
      <c r="A102" s="571" t="s">
        <v>550</v>
      </c>
      <c r="B102" s="571"/>
      <c r="C102" s="571"/>
      <c r="D102" s="571"/>
      <c r="E102" s="571"/>
      <c r="F102" s="571"/>
      <c r="G102" s="571"/>
      <c r="H102" s="571"/>
      <c r="I102" s="571"/>
      <c r="J102" s="571"/>
      <c r="K102" s="159"/>
      <c r="L102" s="159"/>
      <c r="M102" s="159"/>
    </row>
    <row r="103" spans="1:13" s="160" customFormat="1" ht="39.75" customHeight="1">
      <c r="A103" s="1" t="s">
        <v>261</v>
      </c>
      <c r="B103" s="10"/>
      <c r="C103" s="10"/>
      <c r="D103" s="10"/>
      <c r="E103" s="10"/>
      <c r="F103" s="10"/>
      <c r="G103" s="10"/>
      <c r="H103" s="10"/>
      <c r="I103" s="161"/>
      <c r="J103" s="395"/>
      <c r="K103" s="159"/>
      <c r="L103" s="159"/>
      <c r="M103" s="159"/>
    </row>
    <row r="104" spans="1:13" s="160" customFormat="1" ht="41.25" customHeight="1">
      <c r="A104" s="1" t="s">
        <v>262</v>
      </c>
      <c r="B104" s="10"/>
      <c r="C104" s="10"/>
      <c r="D104" s="10"/>
      <c r="E104" s="478"/>
      <c r="F104" s="479">
        <v>17864825.32</v>
      </c>
      <c r="G104" s="479">
        <v>17864825.32</v>
      </c>
      <c r="H104" s="4">
        <f>G104/F104</f>
        <v>1</v>
      </c>
      <c r="I104" s="161"/>
      <c r="J104" s="395"/>
      <c r="K104" s="159"/>
      <c r="L104" s="159"/>
      <c r="M104" s="159"/>
    </row>
    <row r="105" spans="1:13" s="160" customFormat="1" ht="24.75" customHeight="1">
      <c r="A105" s="1" t="s">
        <v>263</v>
      </c>
      <c r="B105" s="10"/>
      <c r="C105" s="10"/>
      <c r="D105" s="10"/>
      <c r="E105" s="10"/>
      <c r="F105" s="479">
        <v>16048692.77</v>
      </c>
      <c r="G105" s="479">
        <f>F105</f>
        <v>16048692.77</v>
      </c>
      <c r="H105" s="4">
        <f>G105/F105</f>
        <v>1</v>
      </c>
      <c r="I105" s="161"/>
      <c r="J105" s="395"/>
      <c r="K105" s="159"/>
      <c r="L105" s="159"/>
      <c r="M105" s="159"/>
    </row>
    <row r="106" spans="1:13" s="160" customFormat="1" ht="27.75" customHeight="1">
      <c r="A106" s="1" t="s">
        <v>264</v>
      </c>
      <c r="B106" s="10"/>
      <c r="C106" s="10"/>
      <c r="D106" s="10"/>
      <c r="E106" s="10"/>
      <c r="F106" s="480">
        <v>3596336.81</v>
      </c>
      <c r="G106" s="10">
        <f>F106</f>
        <v>3596336.81</v>
      </c>
      <c r="H106" s="4">
        <f>G106/F106</f>
        <v>1</v>
      </c>
      <c r="I106" s="161"/>
      <c r="J106" s="395"/>
      <c r="K106" s="159"/>
      <c r="L106" s="159"/>
      <c r="M106" s="159"/>
    </row>
    <row r="107" spans="1:13" s="160" customFormat="1" ht="27.75" customHeight="1">
      <c r="A107" s="1" t="s">
        <v>551</v>
      </c>
      <c r="B107" s="10"/>
      <c r="C107" s="10"/>
      <c r="D107" s="10"/>
      <c r="E107" s="10" t="s">
        <v>3</v>
      </c>
      <c r="F107" s="479">
        <v>11206021.41</v>
      </c>
      <c r="G107" s="10">
        <f>F107</f>
        <v>11206021.41</v>
      </c>
      <c r="H107" s="4">
        <f>G107/F107</f>
        <v>1</v>
      </c>
      <c r="I107" s="161"/>
      <c r="J107" s="395"/>
      <c r="K107" s="159"/>
      <c r="L107" s="159"/>
      <c r="M107" s="159"/>
    </row>
    <row r="108" spans="1:13" s="160" customFormat="1" ht="27" customHeight="1">
      <c r="A108" s="1" t="s">
        <v>552</v>
      </c>
      <c r="B108" s="10"/>
      <c r="C108" s="10"/>
      <c r="D108" s="10"/>
      <c r="E108" s="10"/>
      <c r="F108" s="480">
        <v>35632610.79</v>
      </c>
      <c r="G108" s="10">
        <f>F108</f>
        <v>35632610.79</v>
      </c>
      <c r="H108" s="4">
        <f>G108/F108</f>
        <v>1</v>
      </c>
      <c r="I108" s="161"/>
      <c r="J108" s="395"/>
      <c r="K108" s="159"/>
      <c r="L108" s="159"/>
      <c r="M108" s="159"/>
    </row>
    <row r="109" spans="1:13" s="160" customFormat="1" ht="51">
      <c r="A109" s="106" t="s">
        <v>295</v>
      </c>
      <c r="B109" s="29">
        <v>25.99</v>
      </c>
      <c r="C109" s="29">
        <v>25.99</v>
      </c>
      <c r="D109" s="29">
        <f>SUM(C109-B109)</f>
        <v>0</v>
      </c>
      <c r="E109" s="36">
        <f aca="true" t="shared" si="5" ref="E109:E120">SUM(C109/B109)</f>
        <v>1</v>
      </c>
      <c r="F109" s="10"/>
      <c r="G109" s="10"/>
      <c r="H109" s="10"/>
      <c r="I109" s="161"/>
      <c r="J109" s="393"/>
      <c r="K109" s="159"/>
      <c r="L109" s="159"/>
      <c r="M109" s="159"/>
    </row>
    <row r="110" spans="1:13" s="160" customFormat="1" ht="38.25">
      <c r="A110" s="106" t="s">
        <v>428</v>
      </c>
      <c r="B110" s="29">
        <v>13.3</v>
      </c>
      <c r="C110" s="29">
        <v>13.3</v>
      </c>
      <c r="D110" s="29">
        <f aca="true" t="shared" si="6" ref="D110:D120">SUM(C110-B110)</f>
        <v>0</v>
      </c>
      <c r="E110" s="36">
        <f>SUM(B110/C110)</f>
        <v>1</v>
      </c>
      <c r="F110" s="10"/>
      <c r="G110" s="10"/>
      <c r="H110" s="10"/>
      <c r="I110" s="161"/>
      <c r="J110" s="393"/>
      <c r="K110" s="159"/>
      <c r="L110" s="159"/>
      <c r="M110" s="159"/>
    </row>
    <row r="111" spans="1:13" s="160" customFormat="1" ht="50.25" customHeight="1">
      <c r="A111" s="106" t="s">
        <v>553</v>
      </c>
      <c r="B111" s="29">
        <v>20.7</v>
      </c>
      <c r="C111" s="29">
        <v>20.7</v>
      </c>
      <c r="D111" s="29">
        <f t="shared" si="6"/>
        <v>0</v>
      </c>
      <c r="E111" s="36">
        <f t="shared" si="5"/>
        <v>1</v>
      </c>
      <c r="F111" s="10"/>
      <c r="G111" s="10"/>
      <c r="H111" s="10"/>
      <c r="I111" s="161"/>
      <c r="J111" s="395"/>
      <c r="K111" s="159"/>
      <c r="L111" s="159"/>
      <c r="M111" s="159"/>
    </row>
    <row r="112" spans="1:13" s="160" customFormat="1" ht="38.25">
      <c r="A112" s="106" t="s">
        <v>554</v>
      </c>
      <c r="B112" s="29">
        <v>38.9</v>
      </c>
      <c r="C112" s="29">
        <v>38.9</v>
      </c>
      <c r="D112" s="29">
        <f t="shared" si="6"/>
        <v>0</v>
      </c>
      <c r="E112" s="36">
        <f t="shared" si="5"/>
        <v>1</v>
      </c>
      <c r="F112" s="10"/>
      <c r="G112" s="10"/>
      <c r="H112" s="10"/>
      <c r="I112" s="161"/>
      <c r="J112" s="395"/>
      <c r="K112" s="159"/>
      <c r="L112" s="159"/>
      <c r="M112" s="159"/>
    </row>
    <row r="113" spans="1:13" s="160" customFormat="1" ht="36" customHeight="1">
      <c r="A113" s="207" t="s">
        <v>441</v>
      </c>
      <c r="B113" s="29">
        <v>4.2</v>
      </c>
      <c r="C113" s="29">
        <v>4.2</v>
      </c>
      <c r="D113" s="29">
        <f t="shared" si="6"/>
        <v>0</v>
      </c>
      <c r="E113" s="36">
        <f t="shared" si="5"/>
        <v>1</v>
      </c>
      <c r="F113" s="10"/>
      <c r="G113" s="10"/>
      <c r="H113" s="10"/>
      <c r="I113" s="161"/>
      <c r="J113" s="395"/>
      <c r="K113" s="159"/>
      <c r="L113" s="159"/>
      <c r="M113" s="159"/>
    </row>
    <row r="114" spans="1:13" s="160" customFormat="1" ht="27" customHeight="1">
      <c r="A114" s="207" t="s">
        <v>442</v>
      </c>
      <c r="B114" s="29">
        <v>2</v>
      </c>
      <c r="C114" s="29">
        <v>2</v>
      </c>
      <c r="D114" s="29">
        <f t="shared" si="6"/>
        <v>0</v>
      </c>
      <c r="E114" s="36">
        <f t="shared" si="5"/>
        <v>1</v>
      </c>
      <c r="F114" s="10"/>
      <c r="G114" s="10"/>
      <c r="H114" s="10"/>
      <c r="I114" s="161"/>
      <c r="J114" s="395"/>
      <c r="K114" s="159"/>
      <c r="L114" s="159"/>
      <c r="M114" s="159"/>
    </row>
    <row r="115" spans="1:13" s="160" customFormat="1" ht="40.5" customHeight="1">
      <c r="A115" s="207" t="s">
        <v>443</v>
      </c>
      <c r="B115" s="29">
        <v>5</v>
      </c>
      <c r="C115" s="29">
        <v>5</v>
      </c>
      <c r="D115" s="29">
        <f t="shared" si="6"/>
        <v>0</v>
      </c>
      <c r="E115" s="36">
        <f t="shared" si="5"/>
        <v>1</v>
      </c>
      <c r="F115" s="10"/>
      <c r="G115" s="10"/>
      <c r="H115" s="10"/>
      <c r="I115" s="161"/>
      <c r="J115" s="395"/>
      <c r="K115" s="159"/>
      <c r="L115" s="159"/>
      <c r="M115" s="159"/>
    </row>
    <row r="116" spans="1:13" s="160" customFormat="1" ht="51.75" customHeight="1">
      <c r="A116" s="207" t="s">
        <v>312</v>
      </c>
      <c r="B116" s="29">
        <v>40</v>
      </c>
      <c r="C116" s="29">
        <v>40</v>
      </c>
      <c r="D116" s="29">
        <f t="shared" si="6"/>
        <v>0</v>
      </c>
      <c r="E116" s="36">
        <f t="shared" si="5"/>
        <v>1</v>
      </c>
      <c r="F116" s="10"/>
      <c r="G116" s="10"/>
      <c r="H116" s="10"/>
      <c r="I116" s="161"/>
      <c r="J116" s="395"/>
      <c r="K116" s="159"/>
      <c r="L116" s="159"/>
      <c r="M116" s="159"/>
    </row>
    <row r="117" spans="1:13" s="160" customFormat="1" ht="63.75">
      <c r="A117" s="207" t="s">
        <v>73</v>
      </c>
      <c r="B117" s="29">
        <v>76</v>
      </c>
      <c r="C117" s="29">
        <v>76</v>
      </c>
      <c r="D117" s="29">
        <f t="shared" si="6"/>
        <v>0</v>
      </c>
      <c r="E117" s="36">
        <f t="shared" si="5"/>
        <v>1</v>
      </c>
      <c r="F117" s="10"/>
      <c r="G117" s="10"/>
      <c r="H117" s="10"/>
      <c r="I117" s="161"/>
      <c r="J117" s="395"/>
      <c r="K117" s="159"/>
      <c r="L117" s="159"/>
      <c r="M117" s="159"/>
    </row>
    <row r="118" spans="1:13" s="160" customFormat="1" ht="25.5">
      <c r="A118" s="207" t="s">
        <v>74</v>
      </c>
      <c r="B118" s="29">
        <v>20</v>
      </c>
      <c r="C118" s="29">
        <v>20</v>
      </c>
      <c r="D118" s="29">
        <f t="shared" si="6"/>
        <v>0</v>
      </c>
      <c r="E118" s="36">
        <f t="shared" si="5"/>
        <v>1</v>
      </c>
      <c r="F118" s="481"/>
      <c r="G118" s="481"/>
      <c r="H118" s="481"/>
      <c r="I118" s="481"/>
      <c r="J118" s="482"/>
      <c r="K118" s="159"/>
      <c r="L118" s="159"/>
      <c r="M118" s="159"/>
    </row>
    <row r="119" spans="1:13" s="160" customFormat="1" ht="38.25">
      <c r="A119" s="207" t="s">
        <v>395</v>
      </c>
      <c r="B119" s="29">
        <v>41.5</v>
      </c>
      <c r="C119" s="29">
        <v>41.5</v>
      </c>
      <c r="D119" s="29">
        <f t="shared" si="6"/>
        <v>0</v>
      </c>
      <c r="E119" s="36">
        <f t="shared" si="5"/>
        <v>1</v>
      </c>
      <c r="F119" s="481"/>
      <c r="G119" s="481"/>
      <c r="H119" s="481"/>
      <c r="I119" s="481"/>
      <c r="J119" s="482"/>
      <c r="K119" s="159"/>
      <c r="L119" s="159"/>
      <c r="M119" s="159"/>
    </row>
    <row r="120" spans="1:13" s="160" customFormat="1" ht="40.5" customHeight="1">
      <c r="A120" s="207" t="s">
        <v>396</v>
      </c>
      <c r="B120" s="29">
        <v>330.9</v>
      </c>
      <c r="C120" s="29">
        <v>330.9</v>
      </c>
      <c r="D120" s="29">
        <f t="shared" si="6"/>
        <v>0</v>
      </c>
      <c r="E120" s="36">
        <f t="shared" si="5"/>
        <v>1</v>
      </c>
      <c r="F120" s="161"/>
      <c r="G120" s="161"/>
      <c r="H120" s="161"/>
      <c r="I120" s="161"/>
      <c r="J120" s="395"/>
      <c r="K120" s="159"/>
      <c r="L120" s="159"/>
      <c r="M120" s="159"/>
    </row>
    <row r="121" spans="1:13" s="160" customFormat="1" ht="12.75" customHeight="1">
      <c r="A121" s="107" t="s">
        <v>680</v>
      </c>
      <c r="B121" s="117">
        <f>SUM(B109:B120)</f>
        <v>618.49</v>
      </c>
      <c r="C121" s="117">
        <f>SUM(C109:C120)</f>
        <v>618.49</v>
      </c>
      <c r="D121" s="117">
        <f>C121-B121</f>
        <v>0</v>
      </c>
      <c r="E121" s="33">
        <f>C121/B121</f>
        <v>1</v>
      </c>
      <c r="F121" s="34">
        <f>SUM(F103:F108)</f>
        <v>84348487.1</v>
      </c>
      <c r="G121" s="34">
        <f>SUM(G103:G108)</f>
        <v>84348487.1</v>
      </c>
      <c r="H121" s="34">
        <f>G121/F121</f>
        <v>1</v>
      </c>
      <c r="I121" s="33">
        <f>E121/H121</f>
        <v>1</v>
      </c>
      <c r="J121" s="394"/>
      <c r="K121" s="159"/>
      <c r="L121" s="159"/>
      <c r="M121" s="159"/>
    </row>
    <row r="122" spans="1:13" s="160" customFormat="1" ht="12.75">
      <c r="A122" s="570" t="s">
        <v>467</v>
      </c>
      <c r="B122" s="570"/>
      <c r="C122" s="570"/>
      <c r="D122" s="570"/>
      <c r="E122" s="570"/>
      <c r="F122" s="570"/>
      <c r="G122" s="570"/>
      <c r="H122" s="570"/>
      <c r="I122" s="570"/>
      <c r="J122" s="570"/>
      <c r="K122" s="159"/>
      <c r="L122" s="159"/>
      <c r="M122" s="159"/>
    </row>
    <row r="123" spans="1:13" s="160" customFormat="1" ht="51">
      <c r="A123" s="207" t="s">
        <v>197</v>
      </c>
      <c r="B123" s="32"/>
      <c r="C123" s="32"/>
      <c r="D123" s="32"/>
      <c r="E123" s="32"/>
      <c r="F123" s="479">
        <v>15260</v>
      </c>
      <c r="G123" s="10">
        <v>15260</v>
      </c>
      <c r="H123" s="4">
        <f>G123/F123</f>
        <v>1</v>
      </c>
      <c r="I123" s="109"/>
      <c r="J123" s="396"/>
      <c r="K123" s="159"/>
      <c r="L123" s="159"/>
      <c r="M123" s="159"/>
    </row>
    <row r="124" spans="1:13" s="160" customFormat="1" ht="38.25">
      <c r="A124" s="207" t="s">
        <v>183</v>
      </c>
      <c r="B124" s="32"/>
      <c r="C124" s="32"/>
      <c r="D124" s="32"/>
      <c r="E124" s="32"/>
      <c r="F124" s="483">
        <v>4500000</v>
      </c>
      <c r="G124" s="53">
        <v>4500000</v>
      </c>
      <c r="H124" s="49">
        <f>G124/F124</f>
        <v>1</v>
      </c>
      <c r="I124" s="109"/>
      <c r="J124" s="396"/>
      <c r="K124" s="159"/>
      <c r="L124" s="159"/>
      <c r="M124" s="159"/>
    </row>
    <row r="125" spans="1:13" s="160" customFormat="1" ht="38.25">
      <c r="A125" s="207" t="s">
        <v>397</v>
      </c>
      <c r="B125" s="49">
        <v>55.8</v>
      </c>
      <c r="C125" s="4">
        <v>55.8</v>
      </c>
      <c r="D125" s="484">
        <f>SUM(C125-B125)</f>
        <v>0</v>
      </c>
      <c r="E125" s="4">
        <f>SUM(C125/B125)</f>
        <v>1</v>
      </c>
      <c r="F125" s="34"/>
      <c r="G125" s="34"/>
      <c r="H125" s="34"/>
      <c r="I125" s="33"/>
      <c r="J125" s="394"/>
      <c r="K125" s="159"/>
      <c r="L125" s="159"/>
      <c r="M125" s="159"/>
    </row>
    <row r="126" spans="1:13" s="160" customFormat="1" ht="51">
      <c r="A126" s="207" t="s">
        <v>464</v>
      </c>
      <c r="B126" s="47">
        <v>0</v>
      </c>
      <c r="C126" s="484">
        <v>0</v>
      </c>
      <c r="D126" s="484">
        <f>SUM(C126-B126)</f>
        <v>0</v>
      </c>
      <c r="E126" s="4"/>
      <c r="F126" s="34"/>
      <c r="G126" s="34"/>
      <c r="H126" s="34"/>
      <c r="I126" s="33"/>
      <c r="J126" s="394"/>
      <c r="K126" s="159"/>
      <c r="L126" s="159"/>
      <c r="M126" s="159"/>
    </row>
    <row r="127" spans="1:13" s="160" customFormat="1" ht="12.75" customHeight="1">
      <c r="A127" s="107" t="s">
        <v>28</v>
      </c>
      <c r="B127" s="117">
        <f>SUM(B123:B126)</f>
        <v>55.8</v>
      </c>
      <c r="C127" s="117">
        <f>SUM(C123:C126)</f>
        <v>55.8</v>
      </c>
      <c r="D127" s="117">
        <f>C127-B127</f>
        <v>0</v>
      </c>
      <c r="E127" s="33">
        <f>C127/B127</f>
        <v>1</v>
      </c>
      <c r="F127" s="117">
        <f>SUM(F123:F126)</f>
        <v>4515260</v>
      </c>
      <c r="G127" s="117">
        <f>SUM(G123:G126)</f>
        <v>4515260</v>
      </c>
      <c r="H127" s="34">
        <f>G127/F127</f>
        <v>1</v>
      </c>
      <c r="I127" s="33">
        <f>E127/H127</f>
        <v>1</v>
      </c>
      <c r="J127" s="394"/>
      <c r="K127" s="159"/>
      <c r="L127" s="159"/>
      <c r="M127" s="159"/>
    </row>
    <row r="128" spans="1:13" s="160" customFormat="1" ht="12.75" customHeight="1">
      <c r="A128" s="556" t="s">
        <v>76</v>
      </c>
      <c r="B128" s="556"/>
      <c r="C128" s="556"/>
      <c r="D128" s="556"/>
      <c r="E128" s="556"/>
      <c r="F128" s="556"/>
      <c r="G128" s="556"/>
      <c r="H128" s="556"/>
      <c r="I128" s="556"/>
      <c r="J128" s="556"/>
      <c r="K128" s="159"/>
      <c r="L128" s="159"/>
      <c r="M128" s="159"/>
    </row>
    <row r="129" spans="1:13" s="160" customFormat="1" ht="57.75" customHeight="1">
      <c r="A129" s="207" t="s">
        <v>386</v>
      </c>
      <c r="B129" s="306"/>
      <c r="C129" s="306"/>
      <c r="D129" s="306"/>
      <c r="E129" s="307"/>
      <c r="F129" s="479">
        <v>8088475.1</v>
      </c>
      <c r="G129" s="10">
        <v>7906309.69</v>
      </c>
      <c r="H129" s="4">
        <f>G129/F129</f>
        <v>0.9774783988640826</v>
      </c>
      <c r="I129" s="11"/>
      <c r="J129" s="393"/>
      <c r="K129" s="159"/>
      <c r="L129" s="159"/>
      <c r="M129" s="159"/>
    </row>
    <row r="130" spans="1:13" s="160" customFormat="1" ht="28.5" customHeight="1">
      <c r="A130" s="207" t="s">
        <v>387</v>
      </c>
      <c r="B130" s="30">
        <v>4</v>
      </c>
      <c r="C130" s="30">
        <v>4</v>
      </c>
      <c r="D130" s="4">
        <f>SUM(C130-B130)</f>
        <v>0</v>
      </c>
      <c r="E130" s="485">
        <f>SUM(C130/B130)</f>
        <v>1</v>
      </c>
      <c r="F130" s="222"/>
      <c r="G130" s="222"/>
      <c r="H130" s="222"/>
      <c r="I130" s="11"/>
      <c r="J130" s="397"/>
      <c r="K130" s="159"/>
      <c r="L130" s="159"/>
      <c r="M130" s="159"/>
    </row>
    <row r="131" spans="1:13" s="160" customFormat="1" ht="39.75" customHeight="1">
      <c r="A131" s="207" t="s">
        <v>77</v>
      </c>
      <c r="B131" s="30">
        <v>4</v>
      </c>
      <c r="C131" s="30">
        <v>4</v>
      </c>
      <c r="D131" s="4">
        <f>SUM(C131-B131)</f>
        <v>0</v>
      </c>
      <c r="E131" s="485">
        <f>SUM(C131/B131)</f>
        <v>1</v>
      </c>
      <c r="F131" s="222"/>
      <c r="G131" s="222"/>
      <c r="H131" s="222"/>
      <c r="I131" s="11"/>
      <c r="J131" s="397"/>
      <c r="K131" s="159"/>
      <c r="L131" s="159"/>
      <c r="M131" s="159"/>
    </row>
    <row r="132" spans="1:13" s="160" customFormat="1" ht="45" customHeight="1">
      <c r="A132" s="207" t="s">
        <v>78</v>
      </c>
      <c r="B132" s="30">
        <v>1</v>
      </c>
      <c r="C132" s="30">
        <v>1</v>
      </c>
      <c r="D132" s="4">
        <f>SUM(C132-B132)</f>
        <v>0</v>
      </c>
      <c r="E132" s="485">
        <f>SUM(C132/B132)</f>
        <v>1</v>
      </c>
      <c r="F132" s="222"/>
      <c r="G132" s="222"/>
      <c r="H132" s="222"/>
      <c r="I132" s="11"/>
      <c r="J132" s="397"/>
      <c r="K132" s="159"/>
      <c r="L132" s="159"/>
      <c r="M132" s="159"/>
    </row>
    <row r="133" spans="1:13" s="160" customFormat="1" ht="43.5" customHeight="1">
      <c r="A133" s="207" t="s">
        <v>79</v>
      </c>
      <c r="B133" s="30">
        <v>5</v>
      </c>
      <c r="C133" s="30">
        <v>5</v>
      </c>
      <c r="D133" s="4">
        <f>SUM(C133-B133)</f>
        <v>0</v>
      </c>
      <c r="E133" s="485">
        <f>SUM(C133/B133)</f>
        <v>1</v>
      </c>
      <c r="F133" s="222"/>
      <c r="G133" s="222"/>
      <c r="H133" s="222"/>
      <c r="I133" s="11"/>
      <c r="J133" s="397"/>
      <c r="K133" s="159"/>
      <c r="L133" s="159"/>
      <c r="M133" s="159"/>
    </row>
    <row r="134" spans="1:13" s="160" customFormat="1" ht="12.75" customHeight="1">
      <c r="A134" s="107" t="s">
        <v>29</v>
      </c>
      <c r="B134" s="117">
        <f>SUM(B130:B133)</f>
        <v>14</v>
      </c>
      <c r="C134" s="117">
        <f>SUM(C130:C133)</f>
        <v>14</v>
      </c>
      <c r="D134" s="117">
        <f>C134-B134</f>
        <v>0</v>
      </c>
      <c r="E134" s="131">
        <f>C134/B134</f>
        <v>1</v>
      </c>
      <c r="F134" s="34">
        <f>SUM(F128:F133)</f>
        <v>8088475.1</v>
      </c>
      <c r="G134" s="34">
        <f>SUM(G128:G133)</f>
        <v>7906309.69</v>
      </c>
      <c r="H134" s="34">
        <f>G134/F134</f>
        <v>0.9774783988640826</v>
      </c>
      <c r="I134" s="33">
        <f>E134/H134</f>
        <v>1.0230405103192965</v>
      </c>
      <c r="J134" s="394"/>
      <c r="K134" s="159"/>
      <c r="L134" s="159"/>
      <c r="M134" s="159"/>
    </row>
    <row r="135" spans="1:13" s="160" customFormat="1" ht="64.5" customHeight="1">
      <c r="A135" s="207" t="s">
        <v>80</v>
      </c>
      <c r="B135" s="49">
        <v>43.06</v>
      </c>
      <c r="C135" s="4">
        <v>43.06</v>
      </c>
      <c r="D135" s="198">
        <f aca="true" t="shared" si="7" ref="D135:D140">SUM(C135-B135)</f>
        <v>0</v>
      </c>
      <c r="E135" s="66">
        <f aca="true" t="shared" si="8" ref="E135:E140">SUM(C135/B135)</f>
        <v>1</v>
      </c>
      <c r="F135" s="63"/>
      <c r="G135" s="63"/>
      <c r="H135" s="63"/>
      <c r="I135" s="63"/>
      <c r="J135" s="178"/>
      <c r="K135" s="159"/>
      <c r="L135" s="159"/>
      <c r="M135" s="159"/>
    </row>
    <row r="136" spans="1:13" s="160" customFormat="1" ht="66.75" customHeight="1">
      <c r="A136" s="207" t="s">
        <v>767</v>
      </c>
      <c r="B136" s="49">
        <v>71.19</v>
      </c>
      <c r="C136" s="49">
        <v>71.19</v>
      </c>
      <c r="D136" s="198">
        <f t="shared" si="7"/>
        <v>0</v>
      </c>
      <c r="E136" s="66">
        <f t="shared" si="8"/>
        <v>1</v>
      </c>
      <c r="F136" s="63"/>
      <c r="G136" s="63"/>
      <c r="H136" s="63"/>
      <c r="I136" s="63"/>
      <c r="J136" s="178"/>
      <c r="K136" s="159"/>
      <c r="L136" s="159"/>
      <c r="M136" s="159"/>
    </row>
    <row r="137" spans="1:13" s="163" customFormat="1" ht="66" customHeight="1">
      <c r="A137" s="207" t="s">
        <v>81</v>
      </c>
      <c r="B137" s="49">
        <v>51.5</v>
      </c>
      <c r="C137" s="49">
        <v>51.5</v>
      </c>
      <c r="D137" s="484">
        <f t="shared" si="7"/>
        <v>0</v>
      </c>
      <c r="E137" s="129">
        <f t="shared" si="8"/>
        <v>1</v>
      </c>
      <c r="F137" s="4"/>
      <c r="G137" s="4"/>
      <c r="H137" s="4"/>
      <c r="I137" s="4"/>
      <c r="J137" s="177"/>
      <c r="K137" s="162"/>
      <c r="L137" s="162"/>
      <c r="M137" s="162"/>
    </row>
    <row r="138" spans="1:13" s="163" customFormat="1" ht="102" customHeight="1">
      <c r="A138" s="207" t="s">
        <v>462</v>
      </c>
      <c r="B138" s="49">
        <v>9.5</v>
      </c>
      <c r="C138" s="49">
        <v>9.5</v>
      </c>
      <c r="D138" s="484">
        <f t="shared" si="7"/>
        <v>0</v>
      </c>
      <c r="E138" s="129">
        <f t="shared" si="8"/>
        <v>1</v>
      </c>
      <c r="F138" s="4"/>
      <c r="G138" s="4"/>
      <c r="H138" s="4"/>
      <c r="I138" s="4"/>
      <c r="J138" s="177"/>
      <c r="K138" s="162"/>
      <c r="L138" s="162"/>
      <c r="M138" s="162"/>
    </row>
    <row r="139" spans="1:13" s="160" customFormat="1" ht="48" customHeight="1">
      <c r="A139" s="207" t="s">
        <v>463</v>
      </c>
      <c r="B139" s="47">
        <v>78</v>
      </c>
      <c r="C139" s="47">
        <v>78</v>
      </c>
      <c r="D139" s="198">
        <f t="shared" si="7"/>
        <v>0</v>
      </c>
      <c r="E139" s="66">
        <f t="shared" si="8"/>
        <v>1</v>
      </c>
      <c r="F139" s="63"/>
      <c r="G139" s="63"/>
      <c r="H139" s="63"/>
      <c r="I139" s="63"/>
      <c r="J139" s="178"/>
      <c r="K139" s="159"/>
      <c r="L139" s="159"/>
      <c r="M139" s="159"/>
    </row>
    <row r="140" spans="1:13" s="160" customFormat="1" ht="53.25" customHeight="1">
      <c r="A140" s="207" t="s">
        <v>464</v>
      </c>
      <c r="B140" s="47">
        <v>24</v>
      </c>
      <c r="C140" s="47">
        <v>24</v>
      </c>
      <c r="D140" s="198">
        <f t="shared" si="7"/>
        <v>0</v>
      </c>
      <c r="E140" s="66">
        <f t="shared" si="8"/>
        <v>1</v>
      </c>
      <c r="F140" s="63"/>
      <c r="G140" s="63"/>
      <c r="H140" s="63"/>
      <c r="I140" s="63"/>
      <c r="J140" s="178"/>
      <c r="K140" s="159"/>
      <c r="L140" s="159"/>
      <c r="M140" s="159"/>
    </row>
    <row r="141" spans="1:10" ht="12.75">
      <c r="A141" s="140" t="s">
        <v>469</v>
      </c>
      <c r="B141" s="292">
        <f>B101+B121+B127+B134+B135+B136+B137+B138+B139+B140</f>
        <v>910755.18</v>
      </c>
      <c r="C141" s="292">
        <f>C101+C121+C127+C134+C135+C136+C137+C138+C139+C140</f>
        <v>910755.18</v>
      </c>
      <c r="D141" s="292">
        <f>C141-B141</f>
        <v>0</v>
      </c>
      <c r="E141" s="141">
        <f>C141/B141</f>
        <v>1</v>
      </c>
      <c r="F141" s="142">
        <f>F101+F121+F127+F134+F135+F136+F137+F138+F139+F140</f>
        <v>163848390.84</v>
      </c>
      <c r="G141" s="142">
        <f>G101+G121+G127+G134+G135+G136+G137+G138+G139+G140</f>
        <v>163666225.43</v>
      </c>
      <c r="H141" s="142">
        <f>G141/F141</f>
        <v>0.9988882075126518</v>
      </c>
      <c r="I141" s="141">
        <f>E141/H141</f>
        <v>1.0011130299456799</v>
      </c>
      <c r="J141" s="398"/>
    </row>
    <row r="142" spans="1:10" ht="25.5">
      <c r="A142" s="106" t="s">
        <v>759</v>
      </c>
      <c r="B142" s="117"/>
      <c r="C142" s="117"/>
      <c r="D142" s="115"/>
      <c r="E142" s="33"/>
      <c r="F142" s="31">
        <f>F141/F885</f>
        <v>0.06462457612603825</v>
      </c>
      <c r="G142" s="31">
        <f>G141/G885</f>
        <v>0.06524466603297831</v>
      </c>
      <c r="H142" s="33"/>
      <c r="I142" s="33"/>
      <c r="J142" s="394"/>
    </row>
    <row r="143" spans="1:10" ht="17.25" customHeight="1">
      <c r="A143" s="569" t="s">
        <v>547</v>
      </c>
      <c r="B143" s="569"/>
      <c r="C143" s="569"/>
      <c r="D143" s="569"/>
      <c r="E143" s="569"/>
      <c r="F143" s="569"/>
      <c r="G143" s="569"/>
      <c r="H143" s="569"/>
      <c r="I143" s="569"/>
      <c r="J143" s="569"/>
    </row>
    <row r="144" spans="1:10" ht="12.75">
      <c r="A144" s="579" t="s">
        <v>776</v>
      </c>
      <c r="B144" s="579"/>
      <c r="C144" s="579"/>
      <c r="D144" s="579"/>
      <c r="E144" s="579"/>
      <c r="F144" s="579"/>
      <c r="G144" s="579"/>
      <c r="H144" s="579"/>
      <c r="I144" s="579"/>
      <c r="J144" s="579"/>
    </row>
    <row r="145" spans="1:10" ht="63.75">
      <c r="A145" s="1" t="s">
        <v>777</v>
      </c>
      <c r="B145" s="91">
        <v>10</v>
      </c>
      <c r="C145" s="89">
        <v>14.3</v>
      </c>
      <c r="D145" s="190">
        <f>C145-B145</f>
        <v>4.300000000000001</v>
      </c>
      <c r="E145" s="7">
        <f>C145/B145</f>
        <v>1.4300000000000002</v>
      </c>
      <c r="F145" s="9"/>
      <c r="G145" s="9"/>
      <c r="H145" s="7"/>
      <c r="I145" s="7"/>
      <c r="J145" s="385" t="s">
        <v>778</v>
      </c>
    </row>
    <row r="146" spans="1:10" ht="51">
      <c r="A146" s="1" t="s">
        <v>779</v>
      </c>
      <c r="B146" s="89">
        <v>5.3</v>
      </c>
      <c r="C146" s="89">
        <v>5.3</v>
      </c>
      <c r="D146" s="192">
        <f>C146-B146</f>
        <v>0</v>
      </c>
      <c r="E146" s="7">
        <f>C146/B146</f>
        <v>1</v>
      </c>
      <c r="F146" s="9"/>
      <c r="G146" s="9"/>
      <c r="H146" s="7"/>
      <c r="I146" s="7"/>
      <c r="J146" s="399"/>
    </row>
    <row r="147" spans="1:10" ht="62.25" customHeight="1">
      <c r="A147" s="1" t="s">
        <v>780</v>
      </c>
      <c r="B147" s="89">
        <v>316.1</v>
      </c>
      <c r="C147" s="89">
        <v>315.9</v>
      </c>
      <c r="D147" s="192">
        <f>C147-B147</f>
        <v>-0.20000000000004547</v>
      </c>
      <c r="E147" s="7">
        <f>C147/B147</f>
        <v>0.9993672888326478</v>
      </c>
      <c r="F147" s="9"/>
      <c r="G147" s="9"/>
      <c r="H147" s="7"/>
      <c r="I147" s="7"/>
      <c r="J147" s="399" t="s">
        <v>781</v>
      </c>
    </row>
    <row r="148" spans="1:10" ht="63.75">
      <c r="A148" s="1" t="s">
        <v>782</v>
      </c>
      <c r="B148" s="533">
        <v>6</v>
      </c>
      <c r="C148" s="533">
        <v>6</v>
      </c>
      <c r="D148" s="528">
        <f>C148-B148</f>
        <v>0</v>
      </c>
      <c r="E148" s="529">
        <f>C148/B148</f>
        <v>1</v>
      </c>
      <c r="F148" s="530">
        <v>18000</v>
      </c>
      <c r="G148" s="530">
        <v>18000</v>
      </c>
      <c r="H148" s="529">
        <f>G148/F148</f>
        <v>1</v>
      </c>
      <c r="I148" s="529"/>
      <c r="J148" s="532"/>
    </row>
    <row r="149" spans="1:10" ht="12.75" customHeight="1">
      <c r="A149" s="1" t="s">
        <v>783</v>
      </c>
      <c r="B149" s="533"/>
      <c r="C149" s="533"/>
      <c r="D149" s="528"/>
      <c r="E149" s="529"/>
      <c r="F149" s="530"/>
      <c r="G149" s="530"/>
      <c r="H149" s="529"/>
      <c r="I149" s="529"/>
      <c r="J149" s="532"/>
    </row>
    <row r="150" spans="1:10" ht="38.25">
      <c r="A150" s="1" t="s">
        <v>784</v>
      </c>
      <c r="B150" s="533">
        <v>1</v>
      </c>
      <c r="C150" s="533">
        <v>0</v>
      </c>
      <c r="D150" s="528">
        <f>C150-B150</f>
        <v>-1</v>
      </c>
      <c r="E150" s="529">
        <f>C150/B150</f>
        <v>0</v>
      </c>
      <c r="F150" s="535"/>
      <c r="G150" s="536"/>
      <c r="H150" s="529"/>
      <c r="I150" s="529"/>
      <c r="J150" s="534" t="s">
        <v>321</v>
      </c>
    </row>
    <row r="151" spans="1:10" ht="36" customHeight="1">
      <c r="A151" s="1" t="s">
        <v>322</v>
      </c>
      <c r="B151" s="533"/>
      <c r="C151" s="533"/>
      <c r="D151" s="528"/>
      <c r="E151" s="529"/>
      <c r="F151" s="535"/>
      <c r="G151" s="536"/>
      <c r="H151" s="529"/>
      <c r="I151" s="529"/>
      <c r="J151" s="534"/>
    </row>
    <row r="152" spans="1:10" ht="12.75">
      <c r="A152" s="107" t="s">
        <v>548</v>
      </c>
      <c r="B152" s="277">
        <f>B145++B146+B147+B148+B150</f>
        <v>338.40000000000003</v>
      </c>
      <c r="C152" s="277">
        <f>C145++C146+C147+C148+C150</f>
        <v>341.5</v>
      </c>
      <c r="D152" s="277">
        <f>D145++D146+D147+D148+D150</f>
        <v>3.0999999999999552</v>
      </c>
      <c r="E152" s="42">
        <f>C152/B152</f>
        <v>1.009160756501182</v>
      </c>
      <c r="F152" s="41">
        <f>F145++F146+F147+F148+F150</f>
        <v>18000</v>
      </c>
      <c r="G152" s="41">
        <f>G145++G146+G147+G148+G150</f>
        <v>18000</v>
      </c>
      <c r="H152" s="278">
        <f>G152/F152</f>
        <v>1</v>
      </c>
      <c r="I152" s="278">
        <f>E152/H152</f>
        <v>1.009160756501182</v>
      </c>
      <c r="J152" s="400"/>
    </row>
    <row r="153" spans="1:10" ht="12.75">
      <c r="A153" s="531" t="s">
        <v>323</v>
      </c>
      <c r="B153" s="531"/>
      <c r="C153" s="531"/>
      <c r="D153" s="531"/>
      <c r="E153" s="531"/>
      <c r="F153" s="531"/>
      <c r="G153" s="531"/>
      <c r="H153" s="531"/>
      <c r="I153" s="531"/>
      <c r="J153" s="531"/>
    </row>
    <row r="154" spans="1:10" ht="41.25" customHeight="1">
      <c r="A154" s="1" t="s">
        <v>616</v>
      </c>
      <c r="B154" s="91">
        <v>9</v>
      </c>
      <c r="C154" s="91">
        <v>5</v>
      </c>
      <c r="D154" s="191">
        <f>C154-B154</f>
        <v>-4</v>
      </c>
      <c r="E154" s="7">
        <f>B154/C154</f>
        <v>1.8</v>
      </c>
      <c r="F154" s="9"/>
      <c r="G154" s="9"/>
      <c r="H154" s="7"/>
      <c r="I154" s="7"/>
      <c r="J154" s="385" t="s">
        <v>615</v>
      </c>
    </row>
    <row r="155" spans="1:10" ht="38.25">
      <c r="A155" s="1" t="s">
        <v>324</v>
      </c>
      <c r="B155" s="542">
        <v>99</v>
      </c>
      <c r="C155" s="542">
        <v>100</v>
      </c>
      <c r="D155" s="528">
        <f>C155-B155</f>
        <v>1</v>
      </c>
      <c r="E155" s="529">
        <f>C155/B155</f>
        <v>1.0101010101010102</v>
      </c>
      <c r="F155" s="530">
        <v>37000</v>
      </c>
      <c r="G155" s="530">
        <v>37000</v>
      </c>
      <c r="H155" s="529">
        <f>G155/F155</f>
        <v>1</v>
      </c>
      <c r="I155" s="529"/>
      <c r="J155" s="532" t="s">
        <v>418</v>
      </c>
    </row>
    <row r="156" spans="1:10" ht="45" customHeight="1">
      <c r="A156" s="1" t="s">
        <v>419</v>
      </c>
      <c r="B156" s="542"/>
      <c r="C156" s="542"/>
      <c r="D156" s="528"/>
      <c r="E156" s="529"/>
      <c r="F156" s="530"/>
      <c r="G156" s="530"/>
      <c r="H156" s="529"/>
      <c r="I156" s="529"/>
      <c r="J156" s="532"/>
    </row>
    <row r="157" spans="1:10" ht="12.75">
      <c r="A157" s="107" t="s">
        <v>680</v>
      </c>
      <c r="B157" s="277">
        <f>B154+B155</f>
        <v>108</v>
      </c>
      <c r="C157" s="277">
        <f>C154+C155</f>
        <v>105</v>
      </c>
      <c r="D157" s="277">
        <f>D154+D155</f>
        <v>-3</v>
      </c>
      <c r="E157" s="278">
        <f>B157/C157</f>
        <v>1.0285714285714285</v>
      </c>
      <c r="F157" s="41">
        <f>F155</f>
        <v>37000</v>
      </c>
      <c r="G157" s="41">
        <f>G155</f>
        <v>37000</v>
      </c>
      <c r="H157" s="79">
        <f>G157/F157</f>
        <v>1</v>
      </c>
      <c r="I157" s="278">
        <f>E157/H157</f>
        <v>1.0285714285714285</v>
      </c>
      <c r="J157" s="274"/>
    </row>
    <row r="158" spans="1:10" ht="12.75">
      <c r="A158" s="531" t="s">
        <v>574</v>
      </c>
      <c r="B158" s="531"/>
      <c r="C158" s="531"/>
      <c r="D158" s="531"/>
      <c r="E158" s="531"/>
      <c r="F158" s="531"/>
      <c r="G158" s="531"/>
      <c r="H158" s="531"/>
      <c r="I158" s="531"/>
      <c r="J158" s="531"/>
    </row>
    <row r="159" spans="1:10" ht="102">
      <c r="A159" s="6" t="s">
        <v>420</v>
      </c>
      <c r="B159" s="193"/>
      <c r="C159" s="193"/>
      <c r="D159" s="193"/>
      <c r="E159" s="194"/>
      <c r="F159" s="126">
        <v>12354541</v>
      </c>
      <c r="G159" s="126">
        <v>12354541</v>
      </c>
      <c r="H159" s="7">
        <f>G159/F159</f>
        <v>1</v>
      </c>
      <c r="I159" s="193"/>
      <c r="J159" s="22"/>
    </row>
    <row r="160" spans="1:10" ht="25.5">
      <c r="A160" s="6" t="s">
        <v>421</v>
      </c>
      <c r="B160" s="195">
        <v>10</v>
      </c>
      <c r="C160" s="195">
        <v>10</v>
      </c>
      <c r="D160" s="191">
        <f aca="true" t="shared" si="9" ref="D160:D165">C160-B160</f>
        <v>0</v>
      </c>
      <c r="E160" s="128">
        <f aca="true" t="shared" si="10" ref="E160:E165">C160/B160</f>
        <v>1</v>
      </c>
      <c r="F160" s="126"/>
      <c r="G160" s="126"/>
      <c r="H160" s="7"/>
      <c r="I160" s="193"/>
      <c r="J160" s="22"/>
    </row>
    <row r="161" spans="1:10" ht="48">
      <c r="A161" s="1" t="s">
        <v>422</v>
      </c>
      <c r="B161" s="91">
        <v>180</v>
      </c>
      <c r="C161" s="91">
        <v>186</v>
      </c>
      <c r="D161" s="191">
        <f t="shared" si="9"/>
        <v>6</v>
      </c>
      <c r="E161" s="128">
        <f t="shared" si="10"/>
        <v>1.0333333333333334</v>
      </c>
      <c r="F161" s="127"/>
      <c r="G161" s="126"/>
      <c r="H161" s="7"/>
      <c r="I161" s="3"/>
      <c r="J161" s="22" t="s">
        <v>542</v>
      </c>
    </row>
    <row r="162" spans="1:10" ht="25.5">
      <c r="A162" s="1" t="s">
        <v>423</v>
      </c>
      <c r="B162" s="128">
        <v>0.778</v>
      </c>
      <c r="C162" s="128">
        <v>0.778</v>
      </c>
      <c r="D162" s="191">
        <f t="shared" si="9"/>
        <v>0</v>
      </c>
      <c r="E162" s="128">
        <f t="shared" si="10"/>
        <v>1</v>
      </c>
      <c r="F162" s="127"/>
      <c r="G162" s="126"/>
      <c r="H162" s="3"/>
      <c r="I162" s="3"/>
      <c r="J162" s="22"/>
    </row>
    <row r="163" spans="1:10" ht="38.25">
      <c r="A163" s="1" t="s">
        <v>424</v>
      </c>
      <c r="B163" s="89">
        <v>98</v>
      </c>
      <c r="C163" s="89">
        <v>98</v>
      </c>
      <c r="D163" s="191">
        <f t="shared" si="9"/>
        <v>0</v>
      </c>
      <c r="E163" s="128">
        <f t="shared" si="10"/>
        <v>1</v>
      </c>
      <c r="F163" s="127"/>
      <c r="G163" s="126"/>
      <c r="H163" s="7"/>
      <c r="I163" s="3"/>
      <c r="J163" s="22"/>
    </row>
    <row r="164" spans="1:10" ht="12.75">
      <c r="A164" s="107" t="s">
        <v>28</v>
      </c>
      <c r="B164" s="277">
        <f>B159+B160+B161+B162+B163</f>
        <v>288.778</v>
      </c>
      <c r="C164" s="277">
        <f>C159+C160+C161+C162+C163</f>
        <v>294.778</v>
      </c>
      <c r="D164" s="241">
        <f t="shared" si="9"/>
        <v>6</v>
      </c>
      <c r="E164" s="278">
        <f t="shared" si="10"/>
        <v>1.0207772060198492</v>
      </c>
      <c r="F164" s="41">
        <f>F159+F160+F161+F162+F163</f>
        <v>12354541</v>
      </c>
      <c r="G164" s="41">
        <f>G159+G160+G161+G162+G163</f>
        <v>12354541</v>
      </c>
      <c r="H164" s="36">
        <f>G164/F164</f>
        <v>1</v>
      </c>
      <c r="I164" s="31"/>
      <c r="J164" s="179"/>
    </row>
    <row r="165" spans="1:10" ht="12.75">
      <c r="A165" s="140" t="s">
        <v>292</v>
      </c>
      <c r="B165" s="146">
        <f>B152+B157+B164</f>
        <v>735.1780000000001</v>
      </c>
      <c r="C165" s="146">
        <f>C152+C157+C164</f>
        <v>741.278</v>
      </c>
      <c r="D165" s="145">
        <f t="shared" si="9"/>
        <v>6.099999999999909</v>
      </c>
      <c r="E165" s="141">
        <f t="shared" si="10"/>
        <v>1.0082973103112443</v>
      </c>
      <c r="F165" s="141">
        <f>F152+F157+F164</f>
        <v>12409541</v>
      </c>
      <c r="G165" s="141">
        <f>G152+G157+G164</f>
        <v>12409541</v>
      </c>
      <c r="H165" s="141">
        <f>(H152+H157+H164)/3</f>
        <v>1</v>
      </c>
      <c r="I165" s="141">
        <f>E165/H165</f>
        <v>1.0082973103112443</v>
      </c>
      <c r="J165" s="380"/>
    </row>
    <row r="166" spans="1:10" ht="25.5">
      <c r="A166" s="106" t="s">
        <v>759</v>
      </c>
      <c r="B166" s="258"/>
      <c r="C166" s="258"/>
      <c r="D166" s="116"/>
      <c r="E166" s="33"/>
      <c r="F166" s="31">
        <f>F165/F885</f>
        <v>0.004894532823497901</v>
      </c>
      <c r="G166" s="31">
        <f>G165/G885</f>
        <v>0.004946997195300025</v>
      </c>
      <c r="H166" s="33"/>
      <c r="I166" s="33"/>
      <c r="J166" s="381"/>
    </row>
    <row r="167" spans="1:10" ht="12.75" customHeight="1">
      <c r="A167" s="537" t="s">
        <v>747</v>
      </c>
      <c r="B167" s="537"/>
      <c r="C167" s="537"/>
      <c r="D167" s="537"/>
      <c r="E167" s="537"/>
      <c r="F167" s="537"/>
      <c r="G167" s="537"/>
      <c r="H167" s="537"/>
      <c r="I167" s="537"/>
      <c r="J167" s="537"/>
    </row>
    <row r="168" spans="1:10" ht="78" customHeight="1">
      <c r="A168" s="106" t="s">
        <v>136</v>
      </c>
      <c r="B168" s="30"/>
      <c r="C168" s="30"/>
      <c r="D168" s="30"/>
      <c r="E168" s="31"/>
      <c r="F168" s="49">
        <v>186531</v>
      </c>
      <c r="G168" s="49">
        <v>146643</v>
      </c>
      <c r="H168" s="31">
        <f>G168/F168</f>
        <v>0.7861588690351737</v>
      </c>
      <c r="I168" s="31"/>
      <c r="J168" s="179"/>
    </row>
    <row r="169" spans="1:10" ht="38.25">
      <c r="A169" s="55" t="s">
        <v>563</v>
      </c>
      <c r="B169" s="124">
        <v>5</v>
      </c>
      <c r="C169" s="124">
        <v>5</v>
      </c>
      <c r="D169" s="124">
        <f aca="true" t="shared" si="11" ref="D169:D184">C169-B169</f>
        <v>0</v>
      </c>
      <c r="E169" s="36">
        <f aca="true" t="shared" si="12" ref="E169:E183">C169/B169</f>
        <v>1</v>
      </c>
      <c r="F169" s="35">
        <v>17300</v>
      </c>
      <c r="G169" s="35">
        <v>17300</v>
      </c>
      <c r="H169" s="38">
        <f aca="true" t="shared" si="13" ref="H169:H177">G169/F169</f>
        <v>1</v>
      </c>
      <c r="I169" s="41"/>
      <c r="J169" s="396"/>
    </row>
    <row r="170" spans="1:10" ht="12.75">
      <c r="A170" s="29" t="s">
        <v>564</v>
      </c>
      <c r="B170" s="124">
        <v>3</v>
      </c>
      <c r="C170" s="124">
        <v>3</v>
      </c>
      <c r="D170" s="124">
        <f t="shared" si="11"/>
        <v>0</v>
      </c>
      <c r="E170" s="36">
        <f t="shared" si="12"/>
        <v>1</v>
      </c>
      <c r="F170" s="35">
        <v>11900</v>
      </c>
      <c r="G170" s="35">
        <v>11900</v>
      </c>
      <c r="H170" s="130">
        <f t="shared" si="13"/>
        <v>1</v>
      </c>
      <c r="I170" s="35"/>
      <c r="J170" s="274"/>
    </row>
    <row r="171" spans="1:10" ht="12.75">
      <c r="A171" s="29" t="s">
        <v>431</v>
      </c>
      <c r="B171" s="124">
        <v>2</v>
      </c>
      <c r="C171" s="124">
        <v>2</v>
      </c>
      <c r="D171" s="124">
        <f t="shared" si="11"/>
        <v>0</v>
      </c>
      <c r="E171" s="36">
        <f t="shared" si="12"/>
        <v>1</v>
      </c>
      <c r="F171" s="35">
        <v>5400</v>
      </c>
      <c r="G171" s="35">
        <v>5400</v>
      </c>
      <c r="H171" s="130">
        <f t="shared" si="13"/>
        <v>1</v>
      </c>
      <c r="I171" s="35"/>
      <c r="J171" s="274"/>
    </row>
    <row r="172" spans="1:10" ht="48">
      <c r="A172" s="106" t="s">
        <v>565</v>
      </c>
      <c r="B172" s="35">
        <f>SUM(B173:B177)</f>
        <v>18</v>
      </c>
      <c r="C172" s="35">
        <f>SUM(C173:C177)</f>
        <v>18</v>
      </c>
      <c r="D172" s="35">
        <f t="shared" si="11"/>
        <v>0</v>
      </c>
      <c r="E172" s="35">
        <f t="shared" si="12"/>
        <v>1</v>
      </c>
      <c r="F172" s="35">
        <f>SUM(F173:F177)</f>
        <v>169231</v>
      </c>
      <c r="G172" s="35">
        <f>SUM(G173:G177)</f>
        <v>129343</v>
      </c>
      <c r="H172" s="38">
        <f t="shared" si="13"/>
        <v>0.7642985032293138</v>
      </c>
      <c r="I172" s="41"/>
      <c r="J172" s="274" t="s">
        <v>571</v>
      </c>
    </row>
    <row r="173" spans="1:10" ht="12.75">
      <c r="A173" s="30" t="s">
        <v>269</v>
      </c>
      <c r="B173" s="30">
        <v>3</v>
      </c>
      <c r="C173" s="30">
        <v>3</v>
      </c>
      <c r="D173" s="30">
        <f t="shared" si="11"/>
        <v>0</v>
      </c>
      <c r="E173" s="31">
        <f t="shared" si="12"/>
        <v>1</v>
      </c>
      <c r="F173" s="49">
        <v>14650</v>
      </c>
      <c r="G173" s="49">
        <v>14650</v>
      </c>
      <c r="H173" s="130">
        <f t="shared" si="13"/>
        <v>1</v>
      </c>
      <c r="I173" s="35"/>
      <c r="J173" s="179"/>
    </row>
    <row r="174" spans="1:10" ht="12.75">
      <c r="A174" s="30" t="s">
        <v>589</v>
      </c>
      <c r="B174" s="240">
        <v>1</v>
      </c>
      <c r="C174" s="47">
        <v>1</v>
      </c>
      <c r="D174" s="52">
        <f t="shared" si="11"/>
        <v>0</v>
      </c>
      <c r="E174" s="31">
        <f t="shared" si="12"/>
        <v>1</v>
      </c>
      <c r="F174" s="49">
        <v>2700</v>
      </c>
      <c r="G174" s="49">
        <v>2700</v>
      </c>
      <c r="H174" s="130">
        <f t="shared" si="13"/>
        <v>1</v>
      </c>
      <c r="I174" s="35"/>
      <c r="J174" s="179"/>
    </row>
    <row r="175" spans="1:10" ht="12.75">
      <c r="A175" s="29" t="s">
        <v>564</v>
      </c>
      <c r="B175" s="240">
        <v>6</v>
      </c>
      <c r="C175" s="47">
        <v>6</v>
      </c>
      <c r="D175" s="52">
        <f t="shared" si="11"/>
        <v>0</v>
      </c>
      <c r="E175" s="31">
        <f t="shared" si="12"/>
        <v>1</v>
      </c>
      <c r="F175" s="49">
        <v>53200</v>
      </c>
      <c r="G175" s="49">
        <v>43000</v>
      </c>
      <c r="H175" s="130">
        <f t="shared" si="13"/>
        <v>0.8082706766917294</v>
      </c>
      <c r="I175" s="35"/>
      <c r="J175" s="179"/>
    </row>
    <row r="176" spans="1:10" ht="12.75">
      <c r="A176" s="30" t="s">
        <v>431</v>
      </c>
      <c r="B176" s="240">
        <v>6</v>
      </c>
      <c r="C176" s="47">
        <v>6</v>
      </c>
      <c r="D176" s="52">
        <f t="shared" si="11"/>
        <v>0</v>
      </c>
      <c r="E176" s="31">
        <f t="shared" si="12"/>
        <v>1</v>
      </c>
      <c r="F176" s="49">
        <v>45681</v>
      </c>
      <c r="G176" s="49">
        <v>33400</v>
      </c>
      <c r="H176" s="130">
        <f t="shared" si="13"/>
        <v>0.7311573739629168</v>
      </c>
      <c r="I176" s="35"/>
      <c r="J176" s="179"/>
    </row>
    <row r="177" spans="1:10" ht="12.75">
      <c r="A177" s="30" t="s">
        <v>566</v>
      </c>
      <c r="B177" s="240">
        <v>2</v>
      </c>
      <c r="C177" s="47">
        <v>2</v>
      </c>
      <c r="D177" s="52">
        <f t="shared" si="11"/>
        <v>0</v>
      </c>
      <c r="E177" s="31">
        <f t="shared" si="12"/>
        <v>1</v>
      </c>
      <c r="F177" s="49">
        <v>53000</v>
      </c>
      <c r="G177" s="49">
        <v>35593</v>
      </c>
      <c r="H177" s="130">
        <f t="shared" si="13"/>
        <v>0.6715660377358491</v>
      </c>
      <c r="I177" s="35"/>
      <c r="J177" s="179"/>
    </row>
    <row r="178" spans="1:10" ht="25.5">
      <c r="A178" s="106" t="s">
        <v>567</v>
      </c>
      <c r="B178" s="30">
        <f>B179+B180</f>
        <v>2</v>
      </c>
      <c r="C178" s="30">
        <f>C179+C180</f>
        <v>2</v>
      </c>
      <c r="D178" s="52">
        <f t="shared" si="11"/>
        <v>0</v>
      </c>
      <c r="E178" s="31">
        <f t="shared" si="12"/>
        <v>1</v>
      </c>
      <c r="F178" s="30">
        <f>F179+F180</f>
        <v>5141</v>
      </c>
      <c r="G178" s="30">
        <f>G179+G180</f>
        <v>5141</v>
      </c>
      <c r="H178" s="130">
        <f>G178/F178</f>
        <v>1</v>
      </c>
      <c r="I178" s="116"/>
      <c r="J178" s="401"/>
    </row>
    <row r="179" spans="1:10" ht="12.75">
      <c r="A179" s="29" t="s">
        <v>431</v>
      </c>
      <c r="B179" s="30">
        <v>1</v>
      </c>
      <c r="C179" s="30">
        <v>1</v>
      </c>
      <c r="D179" s="52">
        <f t="shared" si="11"/>
        <v>0</v>
      </c>
      <c r="E179" s="31">
        <f t="shared" si="12"/>
        <v>1</v>
      </c>
      <c r="F179" s="132">
        <v>4419</v>
      </c>
      <c r="G179" s="132">
        <v>4419</v>
      </c>
      <c r="H179" s="130">
        <f>G179/F179</f>
        <v>1</v>
      </c>
      <c r="I179" s="35"/>
      <c r="J179" s="179"/>
    </row>
    <row r="180" spans="1:10" ht="12.75">
      <c r="A180" s="30" t="s">
        <v>269</v>
      </c>
      <c r="B180" s="30">
        <v>1</v>
      </c>
      <c r="C180" s="30">
        <v>1</v>
      </c>
      <c r="D180" s="52">
        <f t="shared" si="11"/>
        <v>0</v>
      </c>
      <c r="E180" s="31">
        <f t="shared" si="12"/>
        <v>1</v>
      </c>
      <c r="F180" s="132">
        <v>722</v>
      </c>
      <c r="G180" s="132">
        <v>722</v>
      </c>
      <c r="H180" s="130">
        <f>G180/F180</f>
        <v>1</v>
      </c>
      <c r="I180" s="35"/>
      <c r="J180" s="179"/>
    </row>
    <row r="181" spans="1:10" ht="51">
      <c r="A181" s="108" t="s">
        <v>568</v>
      </c>
      <c r="B181" s="89">
        <v>12.67</v>
      </c>
      <c r="C181" s="89">
        <v>12.67</v>
      </c>
      <c r="D181" s="191">
        <f t="shared" si="11"/>
        <v>0</v>
      </c>
      <c r="E181" s="128">
        <f t="shared" si="12"/>
        <v>1</v>
      </c>
      <c r="F181" s="132"/>
      <c r="G181" s="132"/>
      <c r="H181" s="130"/>
      <c r="I181" s="31"/>
      <c r="J181" s="179"/>
    </row>
    <row r="182" spans="1:10" ht="89.25">
      <c r="A182" s="108" t="s">
        <v>569</v>
      </c>
      <c r="B182" s="89">
        <v>100</v>
      </c>
      <c r="C182" s="89">
        <v>100</v>
      </c>
      <c r="D182" s="191">
        <f t="shared" si="11"/>
        <v>0</v>
      </c>
      <c r="E182" s="128">
        <f t="shared" si="12"/>
        <v>1</v>
      </c>
      <c r="F182" s="132"/>
      <c r="G182" s="132"/>
      <c r="H182" s="130"/>
      <c r="I182" s="31"/>
      <c r="J182" s="179"/>
    </row>
    <row r="183" spans="1:10" ht="38.25">
      <c r="A183" s="108" t="s">
        <v>570</v>
      </c>
      <c r="B183" s="89">
        <v>1.4</v>
      </c>
      <c r="C183" s="89">
        <v>1.4</v>
      </c>
      <c r="D183" s="191">
        <f t="shared" si="11"/>
        <v>0</v>
      </c>
      <c r="E183" s="128">
        <f t="shared" si="12"/>
        <v>1</v>
      </c>
      <c r="F183" s="132"/>
      <c r="G183" s="132"/>
      <c r="H183" s="52"/>
      <c r="I183" s="31"/>
      <c r="J183" s="179"/>
    </row>
    <row r="184" spans="1:10" ht="12.75">
      <c r="A184" s="139" t="s">
        <v>313</v>
      </c>
      <c r="B184" s="145">
        <f>B169+B172+B178+B181+B182</f>
        <v>137.67000000000002</v>
      </c>
      <c r="C184" s="145">
        <f>C169+C172+C178+C181+C182</f>
        <v>137.67000000000002</v>
      </c>
      <c r="D184" s="145">
        <f t="shared" si="11"/>
        <v>0</v>
      </c>
      <c r="E184" s="141">
        <f>(E169+E172+E174+E178)/4</f>
        <v>1</v>
      </c>
      <c r="F184" s="141">
        <f>F169+F172+F178+F181+F182</f>
        <v>191672</v>
      </c>
      <c r="G184" s="141">
        <f>G169+G172+G178+G181+G182</f>
        <v>151784</v>
      </c>
      <c r="H184" s="141">
        <f>(H169+H172+H178)/3</f>
        <v>0.9214328344097713</v>
      </c>
      <c r="I184" s="141">
        <f>E184/H184</f>
        <v>1.0852662968544586</v>
      </c>
      <c r="J184" s="380"/>
    </row>
    <row r="185" spans="1:10" ht="25.5">
      <c r="A185" s="106" t="s">
        <v>759</v>
      </c>
      <c r="B185" s="258"/>
      <c r="C185" s="258"/>
      <c r="D185" s="116"/>
      <c r="E185" s="33"/>
      <c r="F185" s="132">
        <f>F184/F885</f>
        <v>7.559867809337104E-05</v>
      </c>
      <c r="G185" s="132">
        <f>G184/G885</f>
        <v>6.050788037135451E-05</v>
      </c>
      <c r="H185" s="33"/>
      <c r="I185" s="33"/>
      <c r="J185" s="381"/>
    </row>
    <row r="186" spans="1:10" ht="16.5" customHeight="1">
      <c r="A186" s="537" t="s">
        <v>436</v>
      </c>
      <c r="B186" s="537"/>
      <c r="C186" s="537"/>
      <c r="D186" s="537"/>
      <c r="E186" s="537"/>
      <c r="F186" s="537"/>
      <c r="G186" s="537"/>
      <c r="H186" s="537"/>
      <c r="I186" s="537"/>
      <c r="J186" s="537"/>
    </row>
    <row r="187" spans="1:10" ht="50.25" customHeight="1">
      <c r="A187" s="17" t="s">
        <v>699</v>
      </c>
      <c r="B187" s="80"/>
      <c r="C187" s="80"/>
      <c r="D187" s="80"/>
      <c r="E187" s="81"/>
      <c r="F187" s="82">
        <v>243646330.41</v>
      </c>
      <c r="G187" s="82">
        <v>243646330.41</v>
      </c>
      <c r="H187" s="81">
        <f aca="true" t="shared" si="14" ref="H187:H225">G187/F187</f>
        <v>1</v>
      </c>
      <c r="I187" s="81"/>
      <c r="J187" s="402"/>
    </row>
    <row r="188" spans="1:10" ht="76.5">
      <c r="A188" s="16" t="s">
        <v>700</v>
      </c>
      <c r="B188" s="80"/>
      <c r="C188" s="80"/>
      <c r="D188" s="80"/>
      <c r="E188" s="81"/>
      <c r="F188" s="82">
        <v>583700</v>
      </c>
      <c r="G188" s="82">
        <v>583700</v>
      </c>
      <c r="H188" s="81">
        <f t="shared" si="14"/>
        <v>1</v>
      </c>
      <c r="I188" s="81"/>
      <c r="J188" s="403"/>
    </row>
    <row r="189" spans="1:10" ht="76.5">
      <c r="A189" s="1" t="s">
        <v>388</v>
      </c>
      <c r="B189" s="80"/>
      <c r="C189" s="80"/>
      <c r="D189" s="80"/>
      <c r="E189" s="81"/>
      <c r="F189" s="82">
        <v>1933624</v>
      </c>
      <c r="G189" s="82">
        <v>1933624</v>
      </c>
      <c r="H189" s="81">
        <f t="shared" si="14"/>
        <v>1</v>
      </c>
      <c r="I189" s="81"/>
      <c r="J189" s="403"/>
    </row>
    <row r="190" spans="1:10" ht="38.25">
      <c r="A190" s="1" t="s">
        <v>389</v>
      </c>
      <c r="B190" s="80"/>
      <c r="C190" s="80"/>
      <c r="D190" s="80"/>
      <c r="E190" s="81"/>
      <c r="F190" s="82">
        <v>70855.36</v>
      </c>
      <c r="G190" s="82">
        <v>70855.36</v>
      </c>
      <c r="H190" s="81">
        <f t="shared" si="14"/>
        <v>1</v>
      </c>
      <c r="I190" s="81"/>
      <c r="J190" s="403"/>
    </row>
    <row r="191" spans="1:10" ht="51">
      <c r="A191" s="1" t="s">
        <v>701</v>
      </c>
      <c r="B191" s="80"/>
      <c r="C191" s="80"/>
      <c r="D191" s="80"/>
      <c r="E191" s="81"/>
      <c r="F191" s="82">
        <v>418655</v>
      </c>
      <c r="G191" s="82">
        <v>418655</v>
      </c>
      <c r="H191" s="81">
        <f t="shared" si="14"/>
        <v>1</v>
      </c>
      <c r="I191" s="81"/>
      <c r="J191" s="402"/>
    </row>
    <row r="192" spans="1:10" ht="25.5">
      <c r="A192" s="1" t="s">
        <v>390</v>
      </c>
      <c r="B192" s="80"/>
      <c r="C192" s="80"/>
      <c r="D192" s="80"/>
      <c r="E192" s="81"/>
      <c r="F192" s="82">
        <v>653000</v>
      </c>
      <c r="G192" s="82">
        <v>653000</v>
      </c>
      <c r="H192" s="81">
        <f t="shared" si="14"/>
        <v>1</v>
      </c>
      <c r="I192" s="81"/>
      <c r="J192" s="403"/>
    </row>
    <row r="193" spans="1:10" ht="30" customHeight="1">
      <c r="A193" s="16" t="s">
        <v>702</v>
      </c>
      <c r="B193" s="80"/>
      <c r="C193" s="80"/>
      <c r="D193" s="80"/>
      <c r="E193" s="81"/>
      <c r="F193" s="82">
        <v>7249246.03</v>
      </c>
      <c r="G193" s="82">
        <v>7249246.03</v>
      </c>
      <c r="H193" s="81">
        <f t="shared" si="14"/>
        <v>1</v>
      </c>
      <c r="I193" s="81"/>
      <c r="J193" s="402"/>
    </row>
    <row r="194" spans="1:10" ht="38.25">
      <c r="A194" s="17" t="s">
        <v>703</v>
      </c>
      <c r="B194" s="80"/>
      <c r="C194" s="80"/>
      <c r="D194" s="80"/>
      <c r="E194" s="81"/>
      <c r="F194" s="82">
        <v>1070000</v>
      </c>
      <c r="G194" s="82">
        <v>1070000</v>
      </c>
      <c r="H194" s="81">
        <f t="shared" si="14"/>
        <v>1</v>
      </c>
      <c r="I194" s="81"/>
      <c r="J194" s="404"/>
    </row>
    <row r="195" spans="1:10" ht="89.25">
      <c r="A195" s="17" t="s">
        <v>502</v>
      </c>
      <c r="B195" s="80"/>
      <c r="C195" s="80"/>
      <c r="D195" s="80"/>
      <c r="E195" s="81"/>
      <c r="F195" s="82">
        <v>199306.28</v>
      </c>
      <c r="G195" s="82">
        <v>199306.28</v>
      </c>
      <c r="H195" s="81">
        <f t="shared" si="14"/>
        <v>1</v>
      </c>
      <c r="I195" s="81"/>
      <c r="J195" s="404"/>
    </row>
    <row r="196" spans="1:10" ht="63.75">
      <c r="A196" s="17" t="s">
        <v>503</v>
      </c>
      <c r="B196" s="80"/>
      <c r="C196" s="80"/>
      <c r="D196" s="80"/>
      <c r="E196" s="81"/>
      <c r="F196" s="82">
        <v>2976</v>
      </c>
      <c r="G196" s="82">
        <v>2976</v>
      </c>
      <c r="H196" s="81">
        <f t="shared" si="14"/>
        <v>1</v>
      </c>
      <c r="I196" s="81"/>
      <c r="J196" s="404"/>
    </row>
    <row r="197" spans="1:10" ht="46.5" customHeight="1">
      <c r="A197" s="17" t="s">
        <v>203</v>
      </c>
      <c r="B197" s="80"/>
      <c r="C197" s="80"/>
      <c r="D197" s="80"/>
      <c r="E197" s="81"/>
      <c r="F197" s="82">
        <v>140414648.48</v>
      </c>
      <c r="G197" s="82">
        <v>140414648.48</v>
      </c>
      <c r="H197" s="81">
        <f t="shared" si="14"/>
        <v>1</v>
      </c>
      <c r="I197" s="81"/>
      <c r="J197" s="402"/>
    </row>
    <row r="198" spans="1:10" ht="38.25">
      <c r="A198" s="17" t="s">
        <v>204</v>
      </c>
      <c r="B198" s="80"/>
      <c r="C198" s="80"/>
      <c r="D198" s="80"/>
      <c r="E198" s="81"/>
      <c r="F198" s="82">
        <v>48026466.82</v>
      </c>
      <c r="G198" s="82">
        <v>48026466.82</v>
      </c>
      <c r="H198" s="81">
        <f t="shared" si="14"/>
        <v>1</v>
      </c>
      <c r="I198" s="81"/>
      <c r="J198" s="402"/>
    </row>
    <row r="199" spans="1:10" ht="63.75">
      <c r="A199" s="16" t="s">
        <v>205</v>
      </c>
      <c r="B199" s="80"/>
      <c r="C199" s="80"/>
      <c r="D199" s="80"/>
      <c r="E199" s="81"/>
      <c r="F199" s="82">
        <v>5017591.07</v>
      </c>
      <c r="G199" s="82">
        <v>5017591.07</v>
      </c>
      <c r="H199" s="81">
        <f t="shared" si="14"/>
        <v>1</v>
      </c>
      <c r="I199" s="81"/>
      <c r="J199" s="402"/>
    </row>
    <row r="200" spans="1:10" ht="38.25">
      <c r="A200" s="16" t="s">
        <v>391</v>
      </c>
      <c r="B200" s="80"/>
      <c r="C200" s="80"/>
      <c r="D200" s="80"/>
      <c r="E200" s="81"/>
      <c r="F200" s="82">
        <v>177138.4</v>
      </c>
      <c r="G200" s="82">
        <v>177138.4</v>
      </c>
      <c r="H200" s="81">
        <f t="shared" si="14"/>
        <v>1</v>
      </c>
      <c r="I200" s="81"/>
      <c r="J200" s="402"/>
    </row>
    <row r="201" spans="1:10" ht="25.5">
      <c r="A201" s="1" t="s">
        <v>504</v>
      </c>
      <c r="B201" s="80"/>
      <c r="C201" s="80"/>
      <c r="D201" s="80"/>
      <c r="E201" s="81"/>
      <c r="F201" s="82">
        <v>370950</v>
      </c>
      <c r="G201" s="82">
        <v>370950</v>
      </c>
      <c r="H201" s="81">
        <f t="shared" si="14"/>
        <v>1</v>
      </c>
      <c r="I201" s="81"/>
      <c r="J201" s="402"/>
    </row>
    <row r="202" spans="1:10" ht="38.25">
      <c r="A202" s="1" t="s">
        <v>505</v>
      </c>
      <c r="B202" s="80"/>
      <c r="C202" s="80"/>
      <c r="D202" s="80"/>
      <c r="E202" s="81"/>
      <c r="F202" s="82">
        <v>50000</v>
      </c>
      <c r="G202" s="82">
        <v>50000</v>
      </c>
      <c r="H202" s="81">
        <f t="shared" si="14"/>
        <v>1</v>
      </c>
      <c r="I202" s="81"/>
      <c r="J202" s="402"/>
    </row>
    <row r="203" spans="1:10" ht="63.75">
      <c r="A203" s="1" t="s">
        <v>392</v>
      </c>
      <c r="B203" s="80"/>
      <c r="C203" s="80"/>
      <c r="D203" s="80"/>
      <c r="E203" s="81"/>
      <c r="F203" s="82">
        <v>100000</v>
      </c>
      <c r="G203" s="82">
        <v>100000</v>
      </c>
      <c r="H203" s="81">
        <f t="shared" si="14"/>
        <v>1</v>
      </c>
      <c r="I203" s="81"/>
      <c r="J203" s="402"/>
    </row>
    <row r="204" spans="1:10" ht="34.5" customHeight="1">
      <c r="A204" s="1" t="s">
        <v>217</v>
      </c>
      <c r="B204" s="80"/>
      <c r="C204" s="80"/>
      <c r="D204" s="80"/>
      <c r="E204" s="81"/>
      <c r="F204" s="82">
        <v>181192.95</v>
      </c>
      <c r="G204" s="82">
        <v>181192.95</v>
      </c>
      <c r="H204" s="81">
        <f t="shared" si="14"/>
        <v>1</v>
      </c>
      <c r="I204" s="81"/>
      <c r="J204" s="405"/>
    </row>
    <row r="205" spans="1:10" ht="25.5">
      <c r="A205" s="1" t="s">
        <v>702</v>
      </c>
      <c r="B205" s="80"/>
      <c r="C205" s="80"/>
      <c r="D205" s="80"/>
      <c r="E205" s="81"/>
      <c r="F205" s="82">
        <v>4206049.24</v>
      </c>
      <c r="G205" s="82">
        <v>4206049.24</v>
      </c>
      <c r="H205" s="81">
        <f t="shared" si="14"/>
        <v>1</v>
      </c>
      <c r="I205" s="81"/>
      <c r="J205" s="402"/>
    </row>
    <row r="206" spans="1:10" ht="38.25">
      <c r="A206" s="1" t="s">
        <v>393</v>
      </c>
      <c r="B206" s="80"/>
      <c r="C206" s="80"/>
      <c r="D206" s="80"/>
      <c r="E206" s="81"/>
      <c r="F206" s="82">
        <v>18092628.79</v>
      </c>
      <c r="G206" s="82">
        <v>18092628.79</v>
      </c>
      <c r="H206" s="81">
        <f t="shared" si="14"/>
        <v>1</v>
      </c>
      <c r="I206" s="81"/>
      <c r="J206" s="402"/>
    </row>
    <row r="207" spans="1:10" ht="38.25">
      <c r="A207" s="1" t="s">
        <v>703</v>
      </c>
      <c r="B207" s="80"/>
      <c r="C207" s="80"/>
      <c r="D207" s="80"/>
      <c r="E207" s="81"/>
      <c r="F207" s="82">
        <v>2000000</v>
      </c>
      <c r="G207" s="82">
        <v>2000000</v>
      </c>
      <c r="H207" s="81">
        <f t="shared" si="14"/>
        <v>1</v>
      </c>
      <c r="I207" s="81"/>
      <c r="J207" s="402"/>
    </row>
    <row r="208" spans="1:10" ht="89.25">
      <c r="A208" s="1" t="s">
        <v>506</v>
      </c>
      <c r="B208" s="80"/>
      <c r="C208" s="80"/>
      <c r="D208" s="80"/>
      <c r="E208" s="81"/>
      <c r="F208" s="82">
        <v>93000</v>
      </c>
      <c r="G208" s="82">
        <v>93000</v>
      </c>
      <c r="H208" s="81">
        <f t="shared" si="14"/>
        <v>1</v>
      </c>
      <c r="I208" s="81"/>
      <c r="J208" s="402"/>
    </row>
    <row r="209" spans="1:10" ht="90.75" customHeight="1">
      <c r="A209" s="1" t="s">
        <v>507</v>
      </c>
      <c r="B209" s="80"/>
      <c r="C209" s="80"/>
      <c r="D209" s="80"/>
      <c r="E209" s="81"/>
      <c r="F209" s="82">
        <v>43000</v>
      </c>
      <c r="G209" s="82">
        <v>43000</v>
      </c>
      <c r="H209" s="81">
        <f t="shared" si="14"/>
        <v>1</v>
      </c>
      <c r="I209" s="81"/>
      <c r="J209" s="402"/>
    </row>
    <row r="210" spans="1:10" ht="64.5" customHeight="1">
      <c r="A210" s="1" t="s">
        <v>508</v>
      </c>
      <c r="B210" s="80"/>
      <c r="C210" s="80"/>
      <c r="D210" s="80"/>
      <c r="E210" s="81"/>
      <c r="F210" s="82">
        <v>3880</v>
      </c>
      <c r="G210" s="82">
        <v>3880</v>
      </c>
      <c r="H210" s="81">
        <f t="shared" si="14"/>
        <v>1</v>
      </c>
      <c r="I210" s="81"/>
      <c r="J210" s="402"/>
    </row>
    <row r="211" spans="1:10" ht="89.25">
      <c r="A211" s="1" t="s">
        <v>509</v>
      </c>
      <c r="B211" s="80"/>
      <c r="C211" s="80"/>
      <c r="D211" s="80"/>
      <c r="E211" s="81"/>
      <c r="F211" s="82">
        <v>2884</v>
      </c>
      <c r="G211" s="82">
        <v>2884</v>
      </c>
      <c r="H211" s="81">
        <f t="shared" si="14"/>
        <v>1</v>
      </c>
      <c r="I211" s="81"/>
      <c r="J211" s="402"/>
    </row>
    <row r="212" spans="1:10" ht="63.75">
      <c r="A212" s="1" t="s">
        <v>394</v>
      </c>
      <c r="B212" s="80"/>
      <c r="C212" s="80"/>
      <c r="D212" s="80"/>
      <c r="E212" s="81"/>
      <c r="F212" s="82">
        <v>1463713</v>
      </c>
      <c r="G212" s="82">
        <v>1463713</v>
      </c>
      <c r="H212" s="81">
        <f t="shared" si="14"/>
        <v>1</v>
      </c>
      <c r="I212" s="81"/>
      <c r="J212" s="402"/>
    </row>
    <row r="213" spans="1:10" ht="25.5">
      <c r="A213" s="16" t="s">
        <v>181</v>
      </c>
      <c r="B213" s="80"/>
      <c r="C213" s="80"/>
      <c r="D213" s="80"/>
      <c r="E213" s="81"/>
      <c r="F213" s="82">
        <v>1501082</v>
      </c>
      <c r="G213" s="82">
        <v>1501082</v>
      </c>
      <c r="H213" s="81">
        <f t="shared" si="14"/>
        <v>1</v>
      </c>
      <c r="I213" s="81"/>
      <c r="J213" s="402"/>
    </row>
    <row r="214" spans="1:10" ht="63.75">
      <c r="A214" s="16" t="s">
        <v>206</v>
      </c>
      <c r="B214" s="80"/>
      <c r="C214" s="80"/>
      <c r="D214" s="80"/>
      <c r="E214" s="81"/>
      <c r="F214" s="82">
        <v>623511.22</v>
      </c>
      <c r="G214" s="82">
        <v>396785</v>
      </c>
      <c r="H214" s="81">
        <f t="shared" si="14"/>
        <v>0.6363718683362266</v>
      </c>
      <c r="I214" s="81"/>
      <c r="J214" s="27" t="s">
        <v>617</v>
      </c>
    </row>
    <row r="215" spans="1:10" ht="63.75">
      <c r="A215" s="16" t="s">
        <v>511</v>
      </c>
      <c r="B215" s="80"/>
      <c r="C215" s="80"/>
      <c r="D215" s="80"/>
      <c r="E215" s="81"/>
      <c r="F215" s="82">
        <v>10840</v>
      </c>
      <c r="G215" s="82">
        <v>8962.26</v>
      </c>
      <c r="H215" s="81">
        <f t="shared" si="14"/>
        <v>0.8267767527675277</v>
      </c>
      <c r="I215" s="81"/>
      <c r="J215" s="27" t="s">
        <v>618</v>
      </c>
    </row>
    <row r="216" spans="1:10" ht="76.5">
      <c r="A216" s="16" t="s">
        <v>512</v>
      </c>
      <c r="B216" s="80"/>
      <c r="C216" s="80"/>
      <c r="D216" s="80"/>
      <c r="E216" s="81"/>
      <c r="F216" s="82">
        <v>150000</v>
      </c>
      <c r="G216" s="82">
        <v>150000</v>
      </c>
      <c r="H216" s="81">
        <f t="shared" si="14"/>
        <v>1</v>
      </c>
      <c r="I216" s="81"/>
      <c r="J216" s="402"/>
    </row>
    <row r="217" spans="1:10" ht="25.5">
      <c r="A217" s="16" t="s">
        <v>182</v>
      </c>
      <c r="B217" s="80"/>
      <c r="C217" s="80"/>
      <c r="D217" s="80"/>
      <c r="E217" s="81"/>
      <c r="F217" s="486">
        <f>4166642.71+167030.1+506544.8</f>
        <v>4840217.609999999</v>
      </c>
      <c r="G217" s="486">
        <f>4166642.71+167030.1+506544.8</f>
        <v>4840217.609999999</v>
      </c>
      <c r="H217" s="81">
        <f t="shared" si="14"/>
        <v>1</v>
      </c>
      <c r="I217" s="81"/>
      <c r="J217" s="402"/>
    </row>
    <row r="218" spans="1:10" ht="63.75">
      <c r="A218" s="16" t="s">
        <v>513</v>
      </c>
      <c r="B218" s="80"/>
      <c r="C218" s="80"/>
      <c r="D218" s="80"/>
      <c r="E218" s="81"/>
      <c r="F218" s="486">
        <f>55998.44+113742.99+172174.44</f>
        <v>341915.87</v>
      </c>
      <c r="G218" s="486">
        <f>55998.44+113742.99+172174.44</f>
        <v>341915.87</v>
      </c>
      <c r="H218" s="81">
        <f t="shared" si="14"/>
        <v>1</v>
      </c>
      <c r="I218" s="81"/>
      <c r="J218" s="402"/>
    </row>
    <row r="219" spans="1:10" ht="29.25" customHeight="1">
      <c r="A219" s="16" t="s">
        <v>207</v>
      </c>
      <c r="B219" s="80"/>
      <c r="C219" s="80"/>
      <c r="D219" s="80"/>
      <c r="E219" s="81"/>
      <c r="F219" s="82">
        <v>19067181.13</v>
      </c>
      <c r="G219" s="82">
        <v>19067181.13</v>
      </c>
      <c r="H219" s="81">
        <f t="shared" si="14"/>
        <v>1</v>
      </c>
      <c r="I219" s="81"/>
      <c r="J219" s="402"/>
    </row>
    <row r="220" spans="1:10" ht="76.5">
      <c r="A220" s="16" t="s">
        <v>208</v>
      </c>
      <c r="B220" s="80"/>
      <c r="C220" s="80"/>
      <c r="D220" s="80"/>
      <c r="E220" s="81"/>
      <c r="F220" s="82">
        <v>2665241.17</v>
      </c>
      <c r="G220" s="82">
        <v>2629407.8</v>
      </c>
      <c r="H220" s="81">
        <f t="shared" si="14"/>
        <v>0.9865552992339526</v>
      </c>
      <c r="I220" s="81"/>
      <c r="J220" s="27" t="s">
        <v>514</v>
      </c>
    </row>
    <row r="221" spans="1:10" ht="140.25">
      <c r="A221" s="18" t="s">
        <v>12</v>
      </c>
      <c r="B221" s="80"/>
      <c r="C221" s="80"/>
      <c r="D221" s="80"/>
      <c r="E221" s="81"/>
      <c r="F221" s="82">
        <v>40000</v>
      </c>
      <c r="G221" s="82">
        <v>40000</v>
      </c>
      <c r="H221" s="81">
        <f t="shared" si="14"/>
        <v>1</v>
      </c>
      <c r="I221" s="81"/>
      <c r="J221" s="402"/>
    </row>
    <row r="222" spans="1:10" ht="36">
      <c r="A222" s="16" t="s">
        <v>13</v>
      </c>
      <c r="B222" s="80"/>
      <c r="C222" s="80"/>
      <c r="D222" s="80"/>
      <c r="E222" s="81"/>
      <c r="F222" s="82">
        <v>22291807.27</v>
      </c>
      <c r="G222" s="82">
        <v>21946488.6</v>
      </c>
      <c r="H222" s="81">
        <f t="shared" si="14"/>
        <v>0.9845091667168357</v>
      </c>
      <c r="I222" s="81"/>
      <c r="J222" s="402" t="s">
        <v>514</v>
      </c>
    </row>
    <row r="223" spans="1:10" ht="34.5" customHeight="1">
      <c r="A223" s="16" t="s">
        <v>515</v>
      </c>
      <c r="B223" s="80"/>
      <c r="C223" s="80"/>
      <c r="D223" s="80"/>
      <c r="E223" s="81"/>
      <c r="F223" s="82">
        <v>27754204.06</v>
      </c>
      <c r="G223" s="82">
        <v>26883163.88</v>
      </c>
      <c r="H223" s="81">
        <f t="shared" si="14"/>
        <v>0.9686159192993986</v>
      </c>
      <c r="I223" s="81"/>
      <c r="J223" s="402" t="s">
        <v>516</v>
      </c>
    </row>
    <row r="224" spans="1:10" ht="61.5" customHeight="1">
      <c r="A224" s="16" t="s">
        <v>209</v>
      </c>
      <c r="B224" s="80"/>
      <c r="C224" s="80"/>
      <c r="D224" s="80"/>
      <c r="E224" s="81"/>
      <c r="F224" s="82">
        <v>1213434.93</v>
      </c>
      <c r="G224" s="82">
        <v>1213434.93</v>
      </c>
      <c r="H224" s="81">
        <f t="shared" si="14"/>
        <v>1</v>
      </c>
      <c r="I224" s="81"/>
      <c r="J224" s="402"/>
    </row>
    <row r="225" spans="1:10" ht="50.25" customHeight="1">
      <c r="A225" s="16" t="s">
        <v>210</v>
      </c>
      <c r="B225" s="80"/>
      <c r="C225" s="80"/>
      <c r="D225" s="80"/>
      <c r="E225" s="81"/>
      <c r="F225" s="82">
        <v>69500</v>
      </c>
      <c r="G225" s="82">
        <v>69500</v>
      </c>
      <c r="H225" s="81">
        <f t="shared" si="14"/>
        <v>1</v>
      </c>
      <c r="I225" s="81"/>
      <c r="J225" s="402"/>
    </row>
    <row r="226" spans="1:10" ht="25.5">
      <c r="A226" s="247" t="s">
        <v>14</v>
      </c>
      <c r="B226" s="88">
        <v>95</v>
      </c>
      <c r="C226" s="84">
        <v>97.5</v>
      </c>
      <c r="D226" s="14">
        <f aca="true" t="shared" si="15" ref="D226:D234">C226-B226</f>
        <v>2.5</v>
      </c>
      <c r="E226" s="15">
        <f aca="true" t="shared" si="16" ref="E226:E274">C226/B226</f>
        <v>1.0263157894736843</v>
      </c>
      <c r="F226" s="82"/>
      <c r="G226" s="82"/>
      <c r="H226" s="81"/>
      <c r="I226" s="81"/>
      <c r="J226" s="402"/>
    </row>
    <row r="227" spans="1:10" ht="25.5">
      <c r="A227" s="247" t="s">
        <v>444</v>
      </c>
      <c r="B227" s="88">
        <v>3500</v>
      </c>
      <c r="C227" s="84">
        <v>3419</v>
      </c>
      <c r="D227" s="14">
        <f t="shared" si="15"/>
        <v>-81</v>
      </c>
      <c r="E227" s="15">
        <f t="shared" si="16"/>
        <v>0.9768571428571429</v>
      </c>
      <c r="F227" s="82"/>
      <c r="G227" s="82"/>
      <c r="H227" s="81"/>
      <c r="I227" s="81"/>
      <c r="J227" s="27" t="s">
        <v>517</v>
      </c>
    </row>
    <row r="228" spans="1:10" ht="89.25">
      <c r="A228" s="247" t="s">
        <v>445</v>
      </c>
      <c r="B228" s="88">
        <v>100</v>
      </c>
      <c r="C228" s="84">
        <v>100</v>
      </c>
      <c r="D228" s="14">
        <f t="shared" si="15"/>
        <v>0</v>
      </c>
      <c r="E228" s="15">
        <f t="shared" si="16"/>
        <v>1</v>
      </c>
      <c r="F228" s="82"/>
      <c r="G228" s="82"/>
      <c r="H228" s="81"/>
      <c r="I228" s="81"/>
      <c r="J228" s="402"/>
    </row>
    <row r="229" spans="1:10" ht="38.25">
      <c r="A229" s="247" t="s">
        <v>518</v>
      </c>
      <c r="B229" s="88">
        <v>437</v>
      </c>
      <c r="C229" s="84">
        <v>509</v>
      </c>
      <c r="D229" s="14">
        <f t="shared" si="15"/>
        <v>72</v>
      </c>
      <c r="E229" s="15">
        <f t="shared" si="16"/>
        <v>1.1647597254004576</v>
      </c>
      <c r="F229" s="82"/>
      <c r="G229" s="82"/>
      <c r="H229" s="81"/>
      <c r="I229" s="81"/>
      <c r="J229" s="27" t="s">
        <v>519</v>
      </c>
    </row>
    <row r="230" spans="1:10" ht="29.25" customHeight="1">
      <c r="A230" s="247" t="s">
        <v>385</v>
      </c>
      <c r="B230" s="88">
        <v>100</v>
      </c>
      <c r="C230" s="84">
        <v>100</v>
      </c>
      <c r="D230" s="14">
        <f t="shared" si="15"/>
        <v>0</v>
      </c>
      <c r="E230" s="15">
        <f t="shared" si="16"/>
        <v>1</v>
      </c>
      <c r="F230" s="82"/>
      <c r="G230" s="82"/>
      <c r="H230" s="81"/>
      <c r="I230" s="81"/>
      <c r="J230" s="402"/>
    </row>
    <row r="231" spans="1:10" ht="60" customHeight="1">
      <c r="A231" s="247" t="s">
        <v>307</v>
      </c>
      <c r="B231" s="88">
        <v>240</v>
      </c>
      <c r="C231" s="84">
        <v>280</v>
      </c>
      <c r="D231" s="14">
        <f t="shared" si="15"/>
        <v>40</v>
      </c>
      <c r="E231" s="15">
        <f t="shared" si="16"/>
        <v>1.1666666666666667</v>
      </c>
      <c r="F231" s="82"/>
      <c r="G231" s="82"/>
      <c r="H231" s="81"/>
      <c r="I231" s="81"/>
      <c r="J231" s="27" t="s">
        <v>519</v>
      </c>
    </row>
    <row r="232" spans="1:10" ht="25.5">
      <c r="A232" s="247" t="s">
        <v>308</v>
      </c>
      <c r="B232" s="88">
        <v>1</v>
      </c>
      <c r="C232" s="84">
        <v>1</v>
      </c>
      <c r="D232" s="14">
        <f t="shared" si="15"/>
        <v>0</v>
      </c>
      <c r="E232" s="15">
        <f t="shared" si="16"/>
        <v>1</v>
      </c>
      <c r="F232" s="82"/>
      <c r="G232" s="82"/>
      <c r="H232" s="81"/>
      <c r="I232" s="81"/>
      <c r="J232" s="402"/>
    </row>
    <row r="233" spans="1:10" ht="38.25">
      <c r="A233" s="247" t="s">
        <v>271</v>
      </c>
      <c r="B233" s="88">
        <v>100</v>
      </c>
      <c r="C233" s="84">
        <v>100</v>
      </c>
      <c r="D233" s="14">
        <f t="shared" si="15"/>
        <v>0</v>
      </c>
      <c r="E233" s="15">
        <f t="shared" si="16"/>
        <v>1</v>
      </c>
      <c r="F233" s="82"/>
      <c r="G233" s="82"/>
      <c r="H233" s="81"/>
      <c r="I233" s="81"/>
      <c r="J233" s="402"/>
    </row>
    <row r="234" spans="1:10" ht="25.5">
      <c r="A234" s="247" t="s">
        <v>15</v>
      </c>
      <c r="B234" s="88">
        <v>69.5</v>
      </c>
      <c r="C234" s="329">
        <v>100</v>
      </c>
      <c r="D234" s="14">
        <f t="shared" si="15"/>
        <v>30.5</v>
      </c>
      <c r="E234" s="15">
        <f t="shared" si="16"/>
        <v>1.4388489208633093</v>
      </c>
      <c r="F234" s="82"/>
      <c r="G234" s="82"/>
      <c r="H234" s="81"/>
      <c r="I234" s="81"/>
      <c r="J234" s="402"/>
    </row>
    <row r="235" spans="1:10" ht="89.25">
      <c r="A235" s="247" t="s">
        <v>520</v>
      </c>
      <c r="B235" s="8">
        <v>4</v>
      </c>
      <c r="C235" s="91">
        <v>4</v>
      </c>
      <c r="D235" s="14">
        <v>0</v>
      </c>
      <c r="E235" s="15">
        <f t="shared" si="16"/>
        <v>1</v>
      </c>
      <c r="F235" s="82"/>
      <c r="G235" s="82"/>
      <c r="H235" s="81"/>
      <c r="I235" s="81"/>
      <c r="J235" s="27"/>
    </row>
    <row r="236" spans="1:10" ht="25.5">
      <c r="A236" s="247" t="s">
        <v>346</v>
      </c>
      <c r="B236" s="88">
        <v>5350</v>
      </c>
      <c r="C236" s="8">
        <v>5516</v>
      </c>
      <c r="D236" s="14">
        <f aca="true" t="shared" si="17" ref="D236:D255">C236-B236</f>
        <v>166</v>
      </c>
      <c r="E236" s="15">
        <f t="shared" si="16"/>
        <v>1.0310280373831775</v>
      </c>
      <c r="F236" s="82"/>
      <c r="G236" s="82"/>
      <c r="H236" s="81"/>
      <c r="I236" s="81"/>
      <c r="J236" s="27" t="s">
        <v>521</v>
      </c>
    </row>
    <row r="237" spans="1:10" ht="36" customHeight="1">
      <c r="A237" s="247" t="s">
        <v>309</v>
      </c>
      <c r="B237" s="88">
        <v>1600</v>
      </c>
      <c r="C237" s="8">
        <v>1739</v>
      </c>
      <c r="D237" s="14">
        <f t="shared" si="17"/>
        <v>139</v>
      </c>
      <c r="E237" s="15">
        <f t="shared" si="16"/>
        <v>1.086875</v>
      </c>
      <c r="F237" s="82"/>
      <c r="G237" s="82"/>
      <c r="H237" s="81"/>
      <c r="I237" s="81"/>
      <c r="J237" s="27" t="s">
        <v>522</v>
      </c>
    </row>
    <row r="238" spans="1:10" ht="63.75">
      <c r="A238" s="247" t="s">
        <v>272</v>
      </c>
      <c r="B238" s="88">
        <v>35.63</v>
      </c>
      <c r="C238" s="86">
        <f>334/503*100</f>
        <v>66.40159045725646</v>
      </c>
      <c r="D238" s="309">
        <f t="shared" si="17"/>
        <v>30.77159045725646</v>
      </c>
      <c r="E238" s="15">
        <f t="shared" si="16"/>
        <v>1.8636427296451432</v>
      </c>
      <c r="F238" s="82"/>
      <c r="G238" s="82"/>
      <c r="H238" s="81"/>
      <c r="I238" s="81"/>
      <c r="J238" s="27"/>
    </row>
    <row r="239" spans="1:10" ht="38.25">
      <c r="A239" s="25" t="s">
        <v>560</v>
      </c>
      <c r="B239" s="8">
        <v>100</v>
      </c>
      <c r="C239" s="8">
        <v>100</v>
      </c>
      <c r="D239" s="14">
        <f t="shared" si="17"/>
        <v>0</v>
      </c>
      <c r="E239" s="15">
        <f t="shared" si="16"/>
        <v>1</v>
      </c>
      <c r="F239" s="82"/>
      <c r="G239" s="82"/>
      <c r="H239" s="81"/>
      <c r="I239" s="81"/>
      <c r="J239" s="27"/>
    </row>
    <row r="240" spans="1:10" ht="38.25">
      <c r="A240" s="25" t="s">
        <v>83</v>
      </c>
      <c r="B240" s="8">
        <v>90</v>
      </c>
      <c r="C240" s="8">
        <v>88.3</v>
      </c>
      <c r="D240" s="14">
        <f t="shared" si="17"/>
        <v>-1.7000000000000028</v>
      </c>
      <c r="E240" s="15">
        <f t="shared" si="16"/>
        <v>0.981111111111111</v>
      </c>
      <c r="F240" s="82"/>
      <c r="G240" s="82"/>
      <c r="H240" s="81"/>
      <c r="I240" s="81"/>
      <c r="J240" s="27"/>
    </row>
    <row r="241" spans="1:10" ht="12.75">
      <c r="A241" s="247" t="s">
        <v>440</v>
      </c>
      <c r="B241" s="88">
        <v>0</v>
      </c>
      <c r="C241" s="8">
        <v>0</v>
      </c>
      <c r="D241" s="14">
        <f t="shared" si="17"/>
        <v>0</v>
      </c>
      <c r="E241" s="15">
        <v>1</v>
      </c>
      <c r="F241" s="82"/>
      <c r="G241" s="82"/>
      <c r="H241" s="81"/>
      <c r="I241" s="81"/>
      <c r="J241" s="27"/>
    </row>
    <row r="242" spans="1:10" ht="24.75" customHeight="1">
      <c r="A242" s="247" t="s">
        <v>196</v>
      </c>
      <c r="B242" s="88">
        <v>75</v>
      </c>
      <c r="C242" s="8">
        <v>70</v>
      </c>
      <c r="D242" s="14">
        <f t="shared" si="17"/>
        <v>-5</v>
      </c>
      <c r="E242" s="15">
        <f t="shared" si="16"/>
        <v>0.9333333333333333</v>
      </c>
      <c r="F242" s="82"/>
      <c r="G242" s="82"/>
      <c r="H242" s="81"/>
      <c r="I242" s="81"/>
      <c r="J242" s="27" t="s">
        <v>523</v>
      </c>
    </row>
    <row r="243" spans="1:10" ht="51">
      <c r="A243" s="247" t="s">
        <v>82</v>
      </c>
      <c r="B243" s="88">
        <v>2</v>
      </c>
      <c r="C243" s="8">
        <v>7</v>
      </c>
      <c r="D243" s="14">
        <f t="shared" si="17"/>
        <v>5</v>
      </c>
      <c r="E243" s="15">
        <f t="shared" si="16"/>
        <v>3.5</v>
      </c>
      <c r="F243" s="82"/>
      <c r="G243" s="82"/>
      <c r="H243" s="81"/>
      <c r="I243" s="81"/>
      <c r="J243" s="27"/>
    </row>
    <row r="244" spans="1:10" ht="23.25" customHeight="1">
      <c r="A244" s="247" t="s">
        <v>524</v>
      </c>
      <c r="B244" s="88">
        <v>130</v>
      </c>
      <c r="C244" s="8">
        <v>107</v>
      </c>
      <c r="D244" s="14">
        <f t="shared" si="17"/>
        <v>-23</v>
      </c>
      <c r="E244" s="15">
        <f t="shared" si="16"/>
        <v>0.823076923076923</v>
      </c>
      <c r="F244" s="82"/>
      <c r="G244" s="82"/>
      <c r="H244" s="81"/>
      <c r="I244" s="81"/>
      <c r="J244" s="27"/>
    </row>
    <row r="245" spans="1:10" ht="12.75">
      <c r="A245" s="247" t="s">
        <v>273</v>
      </c>
      <c r="B245" s="330">
        <v>2</v>
      </c>
      <c r="C245" s="331">
        <v>2</v>
      </c>
      <c r="D245" s="14">
        <f t="shared" si="17"/>
        <v>0</v>
      </c>
      <c r="E245" s="15">
        <f t="shared" si="16"/>
        <v>1</v>
      </c>
      <c r="F245" s="247"/>
      <c r="G245" s="247"/>
      <c r="H245" s="83"/>
      <c r="I245" s="247"/>
      <c r="J245" s="406"/>
    </row>
    <row r="246" spans="1:10" ht="12.75">
      <c r="A246" s="247" t="s">
        <v>347</v>
      </c>
      <c r="B246" s="88">
        <v>82.83</v>
      </c>
      <c r="C246" s="8">
        <v>97.43</v>
      </c>
      <c r="D246" s="14">
        <f t="shared" si="17"/>
        <v>14.600000000000009</v>
      </c>
      <c r="E246" s="15">
        <f t="shared" si="16"/>
        <v>1.176264638416033</v>
      </c>
      <c r="F246" s="82"/>
      <c r="G246" s="82"/>
      <c r="H246" s="81"/>
      <c r="I246" s="81"/>
      <c r="J246" s="27"/>
    </row>
    <row r="247" spans="1:10" ht="76.5">
      <c r="A247" s="247" t="s">
        <v>84</v>
      </c>
      <c r="B247" s="88">
        <v>100</v>
      </c>
      <c r="C247" s="8">
        <v>100</v>
      </c>
      <c r="D247" s="14">
        <f t="shared" si="17"/>
        <v>0</v>
      </c>
      <c r="E247" s="15">
        <f t="shared" si="16"/>
        <v>1</v>
      </c>
      <c r="F247" s="82"/>
      <c r="G247" s="82"/>
      <c r="H247" s="81"/>
      <c r="I247" s="81"/>
      <c r="J247" s="27"/>
    </row>
    <row r="248" spans="1:10" ht="65.25" customHeight="1">
      <c r="A248" s="247" t="s">
        <v>638</v>
      </c>
      <c r="B248" s="88">
        <v>100</v>
      </c>
      <c r="C248" s="8">
        <v>100</v>
      </c>
      <c r="D248" s="14">
        <f t="shared" si="17"/>
        <v>0</v>
      </c>
      <c r="E248" s="15">
        <f t="shared" si="16"/>
        <v>1</v>
      </c>
      <c r="F248" s="82"/>
      <c r="G248" s="82"/>
      <c r="H248" s="81"/>
      <c r="I248" s="81"/>
      <c r="J248" s="27"/>
    </row>
    <row r="249" spans="1:10" ht="76.5">
      <c r="A249" s="247" t="s">
        <v>65</v>
      </c>
      <c r="B249" s="88">
        <v>100</v>
      </c>
      <c r="C249" s="8">
        <v>100</v>
      </c>
      <c r="D249" s="14">
        <f t="shared" si="17"/>
        <v>0</v>
      </c>
      <c r="E249" s="15">
        <f t="shared" si="16"/>
        <v>1</v>
      </c>
      <c r="F249" s="82"/>
      <c r="G249" s="82"/>
      <c r="H249" s="81"/>
      <c r="I249" s="81"/>
      <c r="J249" s="27"/>
    </row>
    <row r="250" spans="1:10" ht="267.75">
      <c r="A250" s="248" t="s">
        <v>2</v>
      </c>
      <c r="B250" s="88">
        <v>100</v>
      </c>
      <c r="C250" s="8">
        <v>100</v>
      </c>
      <c r="D250" s="14">
        <f t="shared" si="17"/>
        <v>0</v>
      </c>
      <c r="E250" s="15">
        <f t="shared" si="16"/>
        <v>1</v>
      </c>
      <c r="F250" s="82"/>
      <c r="G250" s="82"/>
      <c r="H250" s="81"/>
      <c r="I250" s="81"/>
      <c r="J250" s="27"/>
    </row>
    <row r="251" spans="1:10" ht="47.25" customHeight="1">
      <c r="A251" s="248" t="s">
        <v>85</v>
      </c>
      <c r="B251" s="88">
        <v>100</v>
      </c>
      <c r="C251" s="8">
        <v>100</v>
      </c>
      <c r="D251" s="14">
        <f t="shared" si="17"/>
        <v>0</v>
      </c>
      <c r="E251" s="15">
        <f t="shared" si="16"/>
        <v>1</v>
      </c>
      <c r="F251" s="82"/>
      <c r="G251" s="82"/>
      <c r="H251" s="81"/>
      <c r="I251" s="81"/>
      <c r="J251" s="27"/>
    </row>
    <row r="252" spans="1:10" ht="102">
      <c r="A252" s="247" t="s">
        <v>152</v>
      </c>
      <c r="B252" s="88">
        <v>100</v>
      </c>
      <c r="C252" s="8">
        <v>100</v>
      </c>
      <c r="D252" s="14">
        <f t="shared" si="17"/>
        <v>0</v>
      </c>
      <c r="E252" s="15">
        <f t="shared" si="16"/>
        <v>1</v>
      </c>
      <c r="F252" s="82"/>
      <c r="G252" s="82"/>
      <c r="H252" s="81"/>
      <c r="I252" s="81"/>
      <c r="J252" s="27"/>
    </row>
    <row r="253" spans="1:10" ht="106.5" customHeight="1">
      <c r="A253" s="247" t="s">
        <v>476</v>
      </c>
      <c r="B253" s="88">
        <v>11.11</v>
      </c>
      <c r="C253" s="86">
        <f>3/9*100</f>
        <v>33.33333333333333</v>
      </c>
      <c r="D253" s="309">
        <f t="shared" si="17"/>
        <v>22.22333333333333</v>
      </c>
      <c r="E253" s="15">
        <f t="shared" si="16"/>
        <v>3.000300030003</v>
      </c>
      <c r="F253" s="82"/>
      <c r="G253" s="82"/>
      <c r="H253" s="81"/>
      <c r="I253" s="81"/>
      <c r="J253" s="27" t="s">
        <v>525</v>
      </c>
    </row>
    <row r="254" spans="1:10" ht="63.75">
      <c r="A254" s="247" t="s">
        <v>66</v>
      </c>
      <c r="B254" s="88">
        <v>51</v>
      </c>
      <c r="C254" s="91">
        <f>(851+258+422+53+1213)/5516*100</f>
        <v>50.7070340826686</v>
      </c>
      <c r="D254" s="309">
        <f t="shared" si="17"/>
        <v>-0.29296591733140076</v>
      </c>
      <c r="E254" s="15">
        <f t="shared" si="16"/>
        <v>0.9942555702484039</v>
      </c>
      <c r="F254" s="82"/>
      <c r="G254" s="82"/>
      <c r="H254" s="81"/>
      <c r="I254" s="81"/>
      <c r="J254" s="27"/>
    </row>
    <row r="255" spans="1:10" ht="76.5">
      <c r="A255" s="247" t="s">
        <v>439</v>
      </c>
      <c r="B255" s="88">
        <v>33.33</v>
      </c>
      <c r="C255" s="86">
        <f>3/9*100</f>
        <v>33.33333333333333</v>
      </c>
      <c r="D255" s="309">
        <f t="shared" si="17"/>
        <v>0.0033333333333303017</v>
      </c>
      <c r="E255" s="15">
        <f t="shared" si="16"/>
        <v>1.000100010001</v>
      </c>
      <c r="F255" s="82"/>
      <c r="G255" s="82"/>
      <c r="H255" s="81"/>
      <c r="I255" s="81"/>
      <c r="J255" s="27"/>
    </row>
    <row r="256" spans="1:10" ht="51">
      <c r="A256" s="25" t="s">
        <v>526</v>
      </c>
      <c r="B256" s="8">
        <v>33</v>
      </c>
      <c r="C256" s="8">
        <v>37</v>
      </c>
      <c r="D256" s="14">
        <v>0</v>
      </c>
      <c r="E256" s="15">
        <f t="shared" si="16"/>
        <v>1.121212121212121</v>
      </c>
      <c r="F256" s="82"/>
      <c r="G256" s="82"/>
      <c r="H256" s="81"/>
      <c r="I256" s="81"/>
      <c r="J256" s="27" t="s">
        <v>527</v>
      </c>
    </row>
    <row r="257" spans="1:10" ht="127.5">
      <c r="A257" s="25" t="s">
        <v>528</v>
      </c>
      <c r="B257" s="8">
        <v>11.11</v>
      </c>
      <c r="C257" s="86">
        <f>1/9*100</f>
        <v>11.11111111111111</v>
      </c>
      <c r="D257" s="14">
        <v>0</v>
      </c>
      <c r="E257" s="15">
        <f t="shared" si="16"/>
        <v>1.000100010001</v>
      </c>
      <c r="F257" s="82"/>
      <c r="G257" s="82"/>
      <c r="H257" s="81"/>
      <c r="I257" s="81"/>
      <c r="J257" s="27"/>
    </row>
    <row r="258" spans="1:10" ht="89.25">
      <c r="A258" s="25" t="s">
        <v>689</v>
      </c>
      <c r="B258" s="88">
        <v>100</v>
      </c>
      <c r="C258" s="8">
        <v>100</v>
      </c>
      <c r="D258" s="14">
        <f>C258-B258</f>
        <v>0</v>
      </c>
      <c r="E258" s="15">
        <f t="shared" si="16"/>
        <v>1</v>
      </c>
      <c r="F258" s="82"/>
      <c r="G258" s="82"/>
      <c r="H258" s="81"/>
      <c r="I258" s="81"/>
      <c r="J258" s="27"/>
    </row>
    <row r="259" spans="1:10" ht="89.25">
      <c r="A259" s="25" t="s">
        <v>690</v>
      </c>
      <c r="B259" s="88">
        <v>66.6</v>
      </c>
      <c r="C259" s="8">
        <f>+B259</f>
        <v>66.6</v>
      </c>
      <c r="D259" s="14">
        <f>C259-B259</f>
        <v>0</v>
      </c>
      <c r="E259" s="15">
        <f t="shared" si="16"/>
        <v>1</v>
      </c>
      <c r="F259" s="82"/>
      <c r="G259" s="82"/>
      <c r="H259" s="81"/>
      <c r="I259" s="81"/>
      <c r="J259" s="27"/>
    </row>
    <row r="260" spans="1:10" ht="25.5">
      <c r="A260" s="247" t="s">
        <v>195</v>
      </c>
      <c r="B260" s="88">
        <v>1</v>
      </c>
      <c r="C260" s="8">
        <v>1</v>
      </c>
      <c r="D260" s="14">
        <f>C260-B260</f>
        <v>0</v>
      </c>
      <c r="E260" s="15">
        <f t="shared" si="16"/>
        <v>1</v>
      </c>
      <c r="F260" s="82"/>
      <c r="G260" s="82"/>
      <c r="H260" s="81"/>
      <c r="I260" s="81"/>
      <c r="J260" s="27"/>
    </row>
    <row r="261" spans="1:10" ht="76.5">
      <c r="A261" s="247" t="s">
        <v>67</v>
      </c>
      <c r="B261" s="88">
        <v>100</v>
      </c>
      <c r="C261" s="8">
        <v>100</v>
      </c>
      <c r="D261" s="14">
        <f>C261-B261</f>
        <v>0</v>
      </c>
      <c r="E261" s="15">
        <f t="shared" si="16"/>
        <v>1</v>
      </c>
      <c r="F261" s="82"/>
      <c r="G261" s="82"/>
      <c r="H261" s="81"/>
      <c r="I261" s="81"/>
      <c r="J261" s="27"/>
    </row>
    <row r="262" spans="1:10" ht="69" customHeight="1">
      <c r="A262" s="13" t="s">
        <v>529</v>
      </c>
      <c r="B262" s="8">
        <v>8</v>
      </c>
      <c r="C262" s="64">
        <v>8</v>
      </c>
      <c r="D262" s="14">
        <v>0</v>
      </c>
      <c r="E262" s="15">
        <f t="shared" si="16"/>
        <v>1</v>
      </c>
      <c r="F262" s="82"/>
      <c r="G262" s="82"/>
      <c r="H262" s="81"/>
      <c r="I262" s="81"/>
      <c r="J262" s="27"/>
    </row>
    <row r="263" spans="1:10" ht="107.25" customHeight="1">
      <c r="A263" s="25" t="s">
        <v>530</v>
      </c>
      <c r="B263" s="8">
        <v>100</v>
      </c>
      <c r="C263" s="64">
        <v>100</v>
      </c>
      <c r="D263" s="14">
        <v>0</v>
      </c>
      <c r="E263" s="15">
        <f t="shared" si="16"/>
        <v>1</v>
      </c>
      <c r="F263" s="82"/>
      <c r="G263" s="82"/>
      <c r="H263" s="81"/>
      <c r="I263" s="81"/>
      <c r="J263" s="27"/>
    </row>
    <row r="264" spans="1:10" ht="114.75">
      <c r="A264" s="25" t="s">
        <v>531</v>
      </c>
      <c r="B264" s="8">
        <v>100</v>
      </c>
      <c r="C264" s="64">
        <v>100</v>
      </c>
      <c r="D264" s="14">
        <v>0</v>
      </c>
      <c r="E264" s="15">
        <f t="shared" si="16"/>
        <v>1</v>
      </c>
      <c r="F264" s="82"/>
      <c r="G264" s="82"/>
      <c r="H264" s="81"/>
      <c r="I264" s="81"/>
      <c r="J264" s="27"/>
    </row>
    <row r="265" spans="1:10" ht="27" customHeight="1">
      <c r="A265" s="247" t="s">
        <v>153</v>
      </c>
      <c r="B265" s="88">
        <v>73</v>
      </c>
      <c r="C265" s="8">
        <v>80.6</v>
      </c>
      <c r="D265" s="14">
        <f>C265-B265</f>
        <v>7.599999999999994</v>
      </c>
      <c r="E265" s="15">
        <f t="shared" si="16"/>
        <v>1.104109589041096</v>
      </c>
      <c r="F265" s="82"/>
      <c r="G265" s="82"/>
      <c r="H265" s="81"/>
      <c r="I265" s="81"/>
      <c r="J265" s="27" t="s">
        <v>532</v>
      </c>
    </row>
    <row r="266" spans="1:10" ht="102">
      <c r="A266" s="25" t="s">
        <v>533</v>
      </c>
      <c r="B266" s="8">
        <v>100</v>
      </c>
      <c r="C266" s="8">
        <v>100</v>
      </c>
      <c r="D266" s="14">
        <v>0</v>
      </c>
      <c r="E266" s="15">
        <f t="shared" si="16"/>
        <v>1</v>
      </c>
      <c r="F266" s="82"/>
      <c r="G266" s="82"/>
      <c r="H266" s="81"/>
      <c r="I266" s="81"/>
      <c r="J266" s="27"/>
    </row>
    <row r="267" spans="1:10" ht="48">
      <c r="A267" s="25" t="s">
        <v>438</v>
      </c>
      <c r="B267" s="88">
        <v>90</v>
      </c>
      <c r="C267" s="8">
        <v>92.2</v>
      </c>
      <c r="D267" s="14">
        <f>C267-B267</f>
        <v>2.200000000000003</v>
      </c>
      <c r="E267" s="15">
        <f t="shared" si="16"/>
        <v>1.0244444444444445</v>
      </c>
      <c r="F267" s="82"/>
      <c r="G267" s="82"/>
      <c r="H267" s="81"/>
      <c r="I267" s="81"/>
      <c r="J267" s="27" t="s">
        <v>534</v>
      </c>
    </row>
    <row r="268" spans="1:10" ht="114.75">
      <c r="A268" s="25" t="s">
        <v>535</v>
      </c>
      <c r="B268" s="8">
        <v>100</v>
      </c>
      <c r="C268" s="8">
        <v>99.7</v>
      </c>
      <c r="D268" s="14">
        <v>0</v>
      </c>
      <c r="E268" s="15">
        <f t="shared" si="16"/>
        <v>0.997</v>
      </c>
      <c r="F268" s="82"/>
      <c r="G268" s="82"/>
      <c r="H268" s="82"/>
      <c r="I268" s="82"/>
      <c r="J268" s="407" t="s">
        <v>536</v>
      </c>
    </row>
    <row r="269" spans="1:10" ht="51">
      <c r="A269" s="1" t="s">
        <v>537</v>
      </c>
      <c r="B269" s="264">
        <v>1994</v>
      </c>
      <c r="C269" s="8">
        <f>647+85+794</f>
        <v>1526</v>
      </c>
      <c r="D269" s="14">
        <f aca="true" t="shared" si="18" ref="D269:D276">C269-B269</f>
        <v>-468</v>
      </c>
      <c r="E269" s="15">
        <f t="shared" si="16"/>
        <v>0.765295887662989</v>
      </c>
      <c r="F269" s="82"/>
      <c r="G269" s="82"/>
      <c r="H269" s="81"/>
      <c r="I269" s="81"/>
      <c r="J269" s="27" t="s">
        <v>510</v>
      </c>
    </row>
    <row r="270" spans="1:10" ht="38.25">
      <c r="A270" s="247" t="s">
        <v>538</v>
      </c>
      <c r="B270" s="88">
        <v>1396</v>
      </c>
      <c r="C270" s="8">
        <v>0</v>
      </c>
      <c r="D270" s="14">
        <f t="shared" si="18"/>
        <v>-1396</v>
      </c>
      <c r="E270" s="15">
        <f t="shared" si="16"/>
        <v>0</v>
      </c>
      <c r="F270" s="82"/>
      <c r="G270" s="82"/>
      <c r="H270" s="81"/>
      <c r="I270" s="81"/>
      <c r="J270" s="27" t="s">
        <v>510</v>
      </c>
    </row>
    <row r="271" spans="1:10" ht="76.5">
      <c r="A271" s="247" t="s">
        <v>691</v>
      </c>
      <c r="B271" s="332">
        <v>0.86</v>
      </c>
      <c r="C271" s="128">
        <v>0</v>
      </c>
      <c r="D271" s="14">
        <f t="shared" si="18"/>
        <v>-0.86</v>
      </c>
      <c r="E271" s="15">
        <f t="shared" si="16"/>
        <v>0</v>
      </c>
      <c r="F271" s="82"/>
      <c r="G271" s="82"/>
      <c r="H271" s="81"/>
      <c r="I271" s="81"/>
      <c r="J271" s="27" t="s">
        <v>510</v>
      </c>
    </row>
    <row r="272" spans="1:10" ht="76.5">
      <c r="A272" s="247" t="s">
        <v>69</v>
      </c>
      <c r="B272" s="88">
        <v>1.29</v>
      </c>
      <c r="C272" s="8">
        <v>0.009</v>
      </c>
      <c r="D272" s="14">
        <f t="shared" si="18"/>
        <v>-1.2810000000000001</v>
      </c>
      <c r="E272" s="15">
        <f t="shared" si="16"/>
        <v>0.006976744186046511</v>
      </c>
      <c r="F272" s="82"/>
      <c r="G272" s="82"/>
      <c r="H272" s="81"/>
      <c r="I272" s="81"/>
      <c r="J272" s="27" t="s">
        <v>510</v>
      </c>
    </row>
    <row r="273" spans="1:10" ht="114.75">
      <c r="A273" s="247" t="s">
        <v>274</v>
      </c>
      <c r="B273" s="88">
        <v>20</v>
      </c>
      <c r="C273" s="91">
        <v>0</v>
      </c>
      <c r="D273" s="14">
        <f t="shared" si="18"/>
        <v>-20</v>
      </c>
      <c r="E273" s="15">
        <f t="shared" si="16"/>
        <v>0</v>
      </c>
      <c r="F273" s="82"/>
      <c r="G273" s="82"/>
      <c r="H273" s="81"/>
      <c r="I273" s="81"/>
      <c r="J273" s="27" t="s">
        <v>510</v>
      </c>
    </row>
    <row r="274" spans="1:10" ht="51">
      <c r="A274" s="25" t="s">
        <v>692</v>
      </c>
      <c r="B274" s="88">
        <v>48.8</v>
      </c>
      <c r="C274" s="89">
        <f>166/647*100</f>
        <v>25.656877897990725</v>
      </c>
      <c r="D274" s="309">
        <f t="shared" si="18"/>
        <v>-23.143122102009272</v>
      </c>
      <c r="E274" s="15">
        <f t="shared" si="16"/>
        <v>0.5257556946309575</v>
      </c>
      <c r="F274" s="82"/>
      <c r="G274" s="82"/>
      <c r="H274" s="81"/>
      <c r="I274" s="81"/>
      <c r="J274" s="27" t="s">
        <v>510</v>
      </c>
    </row>
    <row r="275" spans="1:10" ht="36">
      <c r="A275" s="247" t="s">
        <v>68</v>
      </c>
      <c r="B275" s="88">
        <v>100</v>
      </c>
      <c r="C275" s="86">
        <f>12/13*100</f>
        <v>92.3076923076923</v>
      </c>
      <c r="D275" s="309">
        <f t="shared" si="18"/>
        <v>-7.692307692307693</v>
      </c>
      <c r="E275" s="15">
        <f aca="true" t="shared" si="19" ref="E275:E286">C275/B275</f>
        <v>0.923076923076923</v>
      </c>
      <c r="F275" s="82"/>
      <c r="G275" s="82"/>
      <c r="H275" s="81"/>
      <c r="I275" s="81"/>
      <c r="J275" s="27" t="s">
        <v>510</v>
      </c>
    </row>
    <row r="276" spans="1:10" ht="87.75" customHeight="1">
      <c r="A276" s="25" t="s">
        <v>286</v>
      </c>
      <c r="B276" s="82">
        <v>100</v>
      </c>
      <c r="C276" s="8">
        <v>100</v>
      </c>
      <c r="D276" s="14">
        <f t="shared" si="18"/>
        <v>0</v>
      </c>
      <c r="E276" s="15">
        <f t="shared" si="19"/>
        <v>1</v>
      </c>
      <c r="F276" s="82"/>
      <c r="G276" s="82"/>
      <c r="H276" s="81"/>
      <c r="I276" s="81"/>
      <c r="J276" s="27"/>
    </row>
    <row r="277" spans="1:10" ht="60" customHeight="1">
      <c r="A277" s="247" t="s">
        <v>154</v>
      </c>
      <c r="B277" s="88">
        <v>100</v>
      </c>
      <c r="C277" s="8">
        <v>100</v>
      </c>
      <c r="D277" s="14">
        <f aca="true" t="shared" si="20" ref="D277:D285">C277-B277</f>
        <v>0</v>
      </c>
      <c r="E277" s="15">
        <f t="shared" si="19"/>
        <v>1</v>
      </c>
      <c r="F277" s="82"/>
      <c r="G277" s="82"/>
      <c r="H277" s="81"/>
      <c r="I277" s="81"/>
      <c r="J277" s="27"/>
    </row>
    <row r="278" spans="1:10" ht="61.5" customHeight="1">
      <c r="A278" s="247" t="s">
        <v>155</v>
      </c>
      <c r="B278" s="88">
        <v>30</v>
      </c>
      <c r="C278" s="8">
        <v>45</v>
      </c>
      <c r="D278" s="14">
        <f t="shared" si="20"/>
        <v>15</v>
      </c>
      <c r="E278" s="15">
        <f t="shared" si="19"/>
        <v>1.5</v>
      </c>
      <c r="F278" s="82"/>
      <c r="G278" s="82"/>
      <c r="H278" s="81"/>
      <c r="I278" s="81"/>
      <c r="J278" s="27" t="s">
        <v>539</v>
      </c>
    </row>
    <row r="279" spans="1:10" ht="66" customHeight="1">
      <c r="A279" s="247" t="s">
        <v>212</v>
      </c>
      <c r="B279" s="88">
        <v>40.63</v>
      </c>
      <c r="C279" s="86">
        <f>(7+3+4+1)/(22+8+1)*100</f>
        <v>48.38709677419355</v>
      </c>
      <c r="D279" s="309">
        <f t="shared" si="20"/>
        <v>7.757096774193549</v>
      </c>
      <c r="E279" s="15">
        <f t="shared" si="19"/>
        <v>1.1909204226973553</v>
      </c>
      <c r="F279" s="82"/>
      <c r="G279" s="82"/>
      <c r="H279" s="81"/>
      <c r="I279" s="81"/>
      <c r="J279" s="27"/>
    </row>
    <row r="280" spans="1:10" ht="78.75" customHeight="1">
      <c r="A280" s="247" t="s">
        <v>213</v>
      </c>
      <c r="B280" s="333">
        <v>31.82</v>
      </c>
      <c r="C280" s="86">
        <f>7/22*100</f>
        <v>31.818181818181817</v>
      </c>
      <c r="D280" s="309">
        <f t="shared" si="20"/>
        <v>-0.0018181818181837173</v>
      </c>
      <c r="E280" s="15">
        <f t="shared" si="19"/>
        <v>0.9999428604079766</v>
      </c>
      <c r="F280" s="82"/>
      <c r="G280" s="82"/>
      <c r="H280" s="81"/>
      <c r="I280" s="81"/>
      <c r="J280" s="27"/>
    </row>
    <row r="281" spans="1:10" ht="30.75" customHeight="1">
      <c r="A281" s="248" t="s">
        <v>214</v>
      </c>
      <c r="B281" s="88">
        <v>33</v>
      </c>
      <c r="C281" s="8">
        <v>33</v>
      </c>
      <c r="D281" s="14">
        <f t="shared" si="20"/>
        <v>0</v>
      </c>
      <c r="E281" s="15">
        <f t="shared" si="19"/>
        <v>1</v>
      </c>
      <c r="F281" s="82"/>
      <c r="G281" s="82"/>
      <c r="H281" s="81"/>
      <c r="I281" s="81"/>
      <c r="J281" s="27"/>
    </row>
    <row r="282" spans="1:10" ht="78.75" customHeight="1">
      <c r="A282" s="247" t="s">
        <v>249</v>
      </c>
      <c r="B282" s="88">
        <v>31.04</v>
      </c>
      <c r="C282" s="88">
        <v>31.04</v>
      </c>
      <c r="D282" s="14">
        <f t="shared" si="20"/>
        <v>0</v>
      </c>
      <c r="E282" s="15">
        <f t="shared" si="19"/>
        <v>1</v>
      </c>
      <c r="F282" s="82"/>
      <c r="G282" s="82"/>
      <c r="H282" s="81"/>
      <c r="I282" s="81"/>
      <c r="J282" s="27"/>
    </row>
    <row r="283" spans="1:10" ht="61.5" customHeight="1">
      <c r="A283" s="247" t="s">
        <v>250</v>
      </c>
      <c r="B283" s="88">
        <v>12</v>
      </c>
      <c r="C283" s="8">
        <v>12</v>
      </c>
      <c r="D283" s="14">
        <f t="shared" si="20"/>
        <v>0</v>
      </c>
      <c r="E283" s="15">
        <f t="shared" si="19"/>
        <v>1</v>
      </c>
      <c r="F283" s="82"/>
      <c r="G283" s="82"/>
      <c r="H283" s="81"/>
      <c r="I283" s="81"/>
      <c r="J283" s="27"/>
    </row>
    <row r="284" spans="1:10" ht="45" customHeight="1">
      <c r="A284" s="247" t="s">
        <v>70</v>
      </c>
      <c r="B284" s="88">
        <v>7</v>
      </c>
      <c r="C284" s="8">
        <v>0</v>
      </c>
      <c r="D284" s="14">
        <f t="shared" si="20"/>
        <v>-7</v>
      </c>
      <c r="E284" s="15">
        <f t="shared" si="19"/>
        <v>0</v>
      </c>
      <c r="F284" s="82"/>
      <c r="G284" s="82"/>
      <c r="H284" s="81"/>
      <c r="I284" s="81"/>
      <c r="J284" s="27" t="s">
        <v>540</v>
      </c>
    </row>
    <row r="285" spans="1:10" ht="66.75" customHeight="1">
      <c r="A285" s="247" t="s">
        <v>697</v>
      </c>
      <c r="B285" s="88">
        <v>100</v>
      </c>
      <c r="C285" s="8">
        <v>100</v>
      </c>
      <c r="D285" s="14">
        <f t="shared" si="20"/>
        <v>0</v>
      </c>
      <c r="E285" s="15">
        <f t="shared" si="19"/>
        <v>1</v>
      </c>
      <c r="F285" s="82"/>
      <c r="G285" s="82"/>
      <c r="H285" s="81"/>
      <c r="I285" s="81"/>
      <c r="J285" s="27"/>
    </row>
    <row r="286" spans="1:10" ht="125.25" customHeight="1">
      <c r="A286" s="247" t="s">
        <v>71</v>
      </c>
      <c r="B286" s="88">
        <v>100</v>
      </c>
      <c r="C286" s="8">
        <v>100</v>
      </c>
      <c r="D286" s="14">
        <f>C286-B286</f>
        <v>0</v>
      </c>
      <c r="E286" s="15">
        <f t="shared" si="19"/>
        <v>1</v>
      </c>
      <c r="F286" s="135"/>
      <c r="G286" s="135"/>
      <c r="H286" s="81"/>
      <c r="I286" s="81"/>
      <c r="J286" s="27"/>
    </row>
    <row r="287" spans="1:10" ht="12.75">
      <c r="A287" s="334" t="s">
        <v>541</v>
      </c>
      <c r="B287" s="282">
        <f>SUM(B226:B286)</f>
        <v>17838.550000000003</v>
      </c>
      <c r="C287" s="282">
        <f>SUM(C226:C286)</f>
        <v>16362.435251115765</v>
      </c>
      <c r="D287" s="282">
        <f>C287-B287</f>
        <v>-1476.114748884238</v>
      </c>
      <c r="E287" s="147">
        <f>SUM(E226:E286)/61</f>
        <v>1.021676562718693</v>
      </c>
      <c r="F287" s="149">
        <f>SUM(F187:F225)</f>
        <v>556639771.0899999</v>
      </c>
      <c r="G287" s="149">
        <f>SUM(G187:G225)</f>
        <v>555158974.91</v>
      </c>
      <c r="H287" s="148">
        <f>(H187+H188+H189+H190+H191+H192+H193+H194+H195+H196+H197+H198+H199+H200+H201+H202+H203+H204+H205+H206+H207+H208+H209+H210+H211+H212+H213+H214+H215+H216+H217+H218+H219+H220+H221+H222+H223+H224+H225)/39</f>
        <v>0.9846879232398447</v>
      </c>
      <c r="I287" s="147">
        <f>E287/H287</f>
        <v>1.0375638195674701</v>
      </c>
      <c r="J287" s="408"/>
    </row>
    <row r="288" spans="1:10" ht="29.25" customHeight="1">
      <c r="A288" s="97" t="s">
        <v>742</v>
      </c>
      <c r="B288" s="93"/>
      <c r="C288" s="93"/>
      <c r="D288" s="93"/>
      <c r="E288" s="92"/>
      <c r="F288" s="335">
        <f>F287/F885</f>
        <v>0.2195481388444877</v>
      </c>
      <c r="G288" s="335">
        <f>G287/G885</f>
        <v>0.22131115823102615</v>
      </c>
      <c r="H288" s="336"/>
      <c r="I288" s="92"/>
      <c r="J288" s="409"/>
    </row>
    <row r="289" spans="1:10" ht="27.75" customHeight="1">
      <c r="A289" s="538" t="s">
        <v>291</v>
      </c>
      <c r="B289" s="538"/>
      <c r="C289" s="538"/>
      <c r="D289" s="538"/>
      <c r="E289" s="538"/>
      <c r="F289" s="538"/>
      <c r="G289" s="538"/>
      <c r="H289" s="538"/>
      <c r="I289" s="538"/>
      <c r="J289" s="538"/>
    </row>
    <row r="290" spans="1:10" ht="15.75" customHeight="1">
      <c r="A290" s="539" t="s">
        <v>294</v>
      </c>
      <c r="B290" s="539"/>
      <c r="C290" s="539"/>
      <c r="D290" s="539"/>
      <c r="E290" s="539"/>
      <c r="F290" s="539"/>
      <c r="G290" s="539"/>
      <c r="H290" s="539"/>
      <c r="I290" s="539"/>
      <c r="J290" s="539"/>
    </row>
    <row r="291" spans="1:10" ht="76.5">
      <c r="A291" s="51" t="s">
        <v>129</v>
      </c>
      <c r="B291" s="260">
        <v>140</v>
      </c>
      <c r="C291" s="260">
        <v>140</v>
      </c>
      <c r="D291" s="261">
        <f aca="true" t="shared" si="21" ref="D291:D296">C291-B291</f>
        <v>0</v>
      </c>
      <c r="E291" s="487">
        <f aca="true" t="shared" si="22" ref="E291:E296">C291/B291</f>
        <v>1</v>
      </c>
      <c r="F291" s="104">
        <v>17847120.67</v>
      </c>
      <c r="G291" s="104">
        <v>17887982.85</v>
      </c>
      <c r="H291" s="487">
        <f>G291/F291</f>
        <v>1.0022895670823073</v>
      </c>
      <c r="I291" s="104"/>
      <c r="J291" s="274" t="s">
        <v>619</v>
      </c>
    </row>
    <row r="292" spans="1:10" ht="60">
      <c r="A292" s="51" t="s">
        <v>130</v>
      </c>
      <c r="B292" s="260">
        <v>3</v>
      </c>
      <c r="C292" s="260">
        <v>3</v>
      </c>
      <c r="D292" s="261">
        <f t="shared" si="21"/>
        <v>0</v>
      </c>
      <c r="E292" s="487">
        <f t="shared" si="22"/>
        <v>1</v>
      </c>
      <c r="F292" s="104">
        <v>185270.42</v>
      </c>
      <c r="G292" s="104">
        <v>136819.75</v>
      </c>
      <c r="H292" s="487">
        <f>G292/F292</f>
        <v>0.738486748181388</v>
      </c>
      <c r="I292" s="104"/>
      <c r="J292" s="274" t="s">
        <v>619</v>
      </c>
    </row>
    <row r="293" spans="1:10" ht="60">
      <c r="A293" s="51" t="s">
        <v>131</v>
      </c>
      <c r="B293" s="260">
        <v>1</v>
      </c>
      <c r="C293" s="260">
        <v>1</v>
      </c>
      <c r="D293" s="261">
        <f t="shared" si="21"/>
        <v>0</v>
      </c>
      <c r="E293" s="487">
        <f t="shared" si="22"/>
        <v>1</v>
      </c>
      <c r="F293" s="104">
        <f>3655496+1396846.07+65596.17+28127.14+12640.29+14073.35+140865+754+59839</f>
        <v>5374237.02</v>
      </c>
      <c r="G293" s="104">
        <f>3655496+863324.56+65596.17+28127.14+12640.29+7200+140865+565.5+59836</f>
        <v>4833650.66</v>
      </c>
      <c r="H293" s="487">
        <f>G293/F293</f>
        <v>0.8994115149763158</v>
      </c>
      <c r="I293" s="104"/>
      <c r="J293" s="274" t="s">
        <v>650</v>
      </c>
    </row>
    <row r="294" spans="1:10" ht="25.5">
      <c r="A294" s="51" t="s">
        <v>693</v>
      </c>
      <c r="B294" s="260">
        <v>2</v>
      </c>
      <c r="C294" s="260">
        <v>2</v>
      </c>
      <c r="D294" s="261">
        <f t="shared" si="21"/>
        <v>0</v>
      </c>
      <c r="E294" s="487">
        <f t="shared" si="22"/>
        <v>1</v>
      </c>
      <c r="F294" s="104">
        <f>953654.24+706140+50000+209308</f>
        <v>1919102.24</v>
      </c>
      <c r="G294" s="104">
        <f>953654.24+706140+50000+209308</f>
        <v>1919102.24</v>
      </c>
      <c r="H294" s="487">
        <f>G294/F294</f>
        <v>1</v>
      </c>
      <c r="I294" s="104"/>
      <c r="J294" s="179"/>
    </row>
    <row r="295" spans="1:10" ht="89.25">
      <c r="A295" s="6" t="s">
        <v>695</v>
      </c>
      <c r="B295" s="195">
        <v>19</v>
      </c>
      <c r="C295" s="195">
        <v>19</v>
      </c>
      <c r="D295" s="8">
        <f t="shared" si="21"/>
        <v>0</v>
      </c>
      <c r="E295" s="128">
        <f t="shared" si="22"/>
        <v>1</v>
      </c>
      <c r="F295" s="8"/>
      <c r="G295" s="262"/>
      <c r="H295" s="128"/>
      <c r="I295" s="263"/>
      <c r="J295" s="410"/>
    </row>
    <row r="296" spans="1:10" ht="12.75">
      <c r="A296" s="286" t="s">
        <v>314</v>
      </c>
      <c r="B296" s="150">
        <f>SUM(B291:B295)</f>
        <v>165</v>
      </c>
      <c r="C296" s="150">
        <f>SUM(C291:C295)</f>
        <v>165</v>
      </c>
      <c r="D296" s="148">
        <f t="shared" si="21"/>
        <v>0</v>
      </c>
      <c r="E296" s="488">
        <f t="shared" si="22"/>
        <v>1</v>
      </c>
      <c r="F296" s="150">
        <f>SUM(F291:F295)</f>
        <v>25325730.35</v>
      </c>
      <c r="G296" s="150">
        <f>SUM(G291:G295)</f>
        <v>24777555.5</v>
      </c>
      <c r="H296" s="488">
        <f>SUM(H291:H294)/4</f>
        <v>0.9100469575600028</v>
      </c>
      <c r="I296" s="488">
        <f>E296/H296</f>
        <v>1.0988443966464954</v>
      </c>
      <c r="J296" s="411"/>
    </row>
    <row r="297" spans="1:10" ht="25.5">
      <c r="A297" s="106" t="s">
        <v>759</v>
      </c>
      <c r="B297" s="279"/>
      <c r="C297" s="279"/>
      <c r="D297" s="279"/>
      <c r="E297" s="279"/>
      <c r="F297" s="263">
        <f>F296/F885</f>
        <v>0.009988896323976204</v>
      </c>
      <c r="G297" s="263">
        <f>G296/G885</f>
        <v>0.009877440073318642</v>
      </c>
      <c r="H297" s="263"/>
      <c r="I297" s="263"/>
      <c r="J297" s="412"/>
    </row>
    <row r="298" spans="1:10" ht="12.75" customHeight="1">
      <c r="A298" s="537" t="s">
        <v>593</v>
      </c>
      <c r="B298" s="537"/>
      <c r="C298" s="537"/>
      <c r="D298" s="537"/>
      <c r="E298" s="537"/>
      <c r="F298" s="537"/>
      <c r="G298" s="537"/>
      <c r="H298" s="537"/>
      <c r="I298" s="537"/>
      <c r="J298" s="537"/>
    </row>
    <row r="299" spans="1:10" ht="25.5">
      <c r="A299" s="213" t="s">
        <v>237</v>
      </c>
      <c r="B299" s="29">
        <v>1</v>
      </c>
      <c r="C299" s="29">
        <v>1</v>
      </c>
      <c r="D299" s="29">
        <v>0</v>
      </c>
      <c r="E299" s="487">
        <v>1</v>
      </c>
      <c r="F299" s="214">
        <v>206156</v>
      </c>
      <c r="G299" s="215">
        <v>206156</v>
      </c>
      <c r="H299" s="487">
        <f>SUM(G299/F299)</f>
        <v>1</v>
      </c>
      <c r="I299" s="259"/>
      <c r="J299" s="189"/>
    </row>
    <row r="300" spans="1:10" ht="25.5">
      <c r="A300" s="213" t="s">
        <v>238</v>
      </c>
      <c r="B300" s="29"/>
      <c r="C300" s="29"/>
      <c r="D300" s="29"/>
      <c r="E300" s="487"/>
      <c r="F300" s="214">
        <v>322965.36</v>
      </c>
      <c r="G300" s="215">
        <v>322965.36</v>
      </c>
      <c r="H300" s="487">
        <f>G300/F300</f>
        <v>1</v>
      </c>
      <c r="I300" s="259"/>
      <c r="J300" s="189"/>
    </row>
    <row r="301" spans="1:10" ht="34.5" customHeight="1">
      <c r="A301" s="217" t="s">
        <v>238</v>
      </c>
      <c r="B301" s="64"/>
      <c r="C301" s="29"/>
      <c r="D301" s="29"/>
      <c r="E301" s="487"/>
      <c r="F301" s="123">
        <v>627381.38</v>
      </c>
      <c r="G301" s="218">
        <v>627360.91</v>
      </c>
      <c r="H301" s="487">
        <f>G301/F301</f>
        <v>0.999967372318254</v>
      </c>
      <c r="I301" s="259"/>
      <c r="J301" s="189"/>
    </row>
    <row r="302" spans="1:10" ht="86.25" customHeight="1">
      <c r="A302" s="213" t="s">
        <v>239</v>
      </c>
      <c r="B302" s="64"/>
      <c r="C302" s="64"/>
      <c r="D302" s="29"/>
      <c r="E302" s="487"/>
      <c r="F302" s="214">
        <v>39873.39</v>
      </c>
      <c r="G302" s="215">
        <v>39873.39</v>
      </c>
      <c r="H302" s="487">
        <f>G302/F302</f>
        <v>1</v>
      </c>
      <c r="I302" s="219"/>
      <c r="J302" s="189"/>
    </row>
    <row r="303" spans="1:10" ht="108.75" customHeight="1">
      <c r="A303" s="48" t="s">
        <v>240</v>
      </c>
      <c r="B303" s="64">
        <v>1</v>
      </c>
      <c r="C303" s="29">
        <v>1</v>
      </c>
      <c r="D303" s="29">
        <v>0</v>
      </c>
      <c r="E303" s="487">
        <v>1</v>
      </c>
      <c r="F303" s="214"/>
      <c r="G303" s="215"/>
      <c r="H303" s="487"/>
      <c r="I303" s="216"/>
      <c r="J303" s="189"/>
    </row>
    <row r="304" spans="1:10" ht="66" customHeight="1">
      <c r="A304" s="213" t="s">
        <v>241</v>
      </c>
      <c r="B304" s="64">
        <v>85</v>
      </c>
      <c r="C304" s="64">
        <v>85</v>
      </c>
      <c r="D304" s="29">
        <v>0</v>
      </c>
      <c r="E304" s="487">
        <v>1</v>
      </c>
      <c r="F304" s="214"/>
      <c r="G304" s="215"/>
      <c r="H304" s="487"/>
      <c r="I304" s="216"/>
      <c r="J304" s="189"/>
    </row>
    <row r="305" spans="1:10" ht="12.75">
      <c r="A305" s="140" t="s">
        <v>315</v>
      </c>
      <c r="B305" s="143">
        <f>SUM(B299:B304)</f>
        <v>87</v>
      </c>
      <c r="C305" s="143">
        <f>SUM(C299:C304)</f>
        <v>87</v>
      </c>
      <c r="D305" s="151">
        <f>D299+D300+D301+D302+D303</f>
        <v>0</v>
      </c>
      <c r="E305" s="285">
        <f>C305/B305</f>
        <v>1</v>
      </c>
      <c r="F305" s="152">
        <f>F299+F300+F301+F302+F303</f>
        <v>1196376.13</v>
      </c>
      <c r="G305" s="153">
        <f>G299+G300+G301+G302+G303</f>
        <v>1196355.66</v>
      </c>
      <c r="H305" s="147">
        <f>G305/F305</f>
        <v>0.9999828899963091</v>
      </c>
      <c r="I305" s="141">
        <f>E305/H305</f>
        <v>1.0000171102964481</v>
      </c>
      <c r="J305" s="413"/>
    </row>
    <row r="306" spans="1:10" ht="25.5">
      <c r="A306" s="106" t="s">
        <v>759</v>
      </c>
      <c r="B306" s="106"/>
      <c r="C306" s="106"/>
      <c r="D306" s="106"/>
      <c r="E306" s="106"/>
      <c r="F306" s="220">
        <f>F305/F885</f>
        <v>0.0004718709771404431</v>
      </c>
      <c r="G306" s="220">
        <f>G305/G885</f>
        <v>0.00047692078978596464</v>
      </c>
      <c r="H306" s="46"/>
      <c r="I306" s="31"/>
      <c r="J306" s="400"/>
    </row>
    <row r="307" spans="1:10" ht="18" customHeight="1">
      <c r="A307" s="537" t="s">
        <v>411</v>
      </c>
      <c r="B307" s="537"/>
      <c r="C307" s="537"/>
      <c r="D307" s="537"/>
      <c r="E307" s="537"/>
      <c r="F307" s="537"/>
      <c r="G307" s="537"/>
      <c r="H307" s="537"/>
      <c r="I307" s="537"/>
      <c r="J307" s="537"/>
    </row>
    <row r="308" spans="1:10" ht="51">
      <c r="A308" s="244" t="s">
        <v>19</v>
      </c>
      <c r="B308" s="337"/>
      <c r="C308" s="338"/>
      <c r="D308" s="339"/>
      <c r="E308" s="340"/>
      <c r="F308" s="341">
        <v>246403.99</v>
      </c>
      <c r="G308" s="341">
        <v>246403.99</v>
      </c>
      <c r="H308" s="490">
        <f>SUM(G308/F308)</f>
        <v>1</v>
      </c>
      <c r="I308" s="341"/>
      <c r="J308" s="414"/>
    </row>
    <row r="309" spans="1:10" ht="51">
      <c r="A309" s="244" t="s">
        <v>588</v>
      </c>
      <c r="B309" s="337"/>
      <c r="C309" s="343"/>
      <c r="D309" s="344"/>
      <c r="E309" s="340"/>
      <c r="F309" s="345">
        <v>804799.02</v>
      </c>
      <c r="G309" s="346">
        <v>804799.02</v>
      </c>
      <c r="H309" s="490">
        <f>SUM(G309/F309)</f>
        <v>1</v>
      </c>
      <c r="I309" s="341"/>
      <c r="J309" s="415"/>
    </row>
    <row r="310" spans="1:10" ht="38.25">
      <c r="A310" s="244" t="s">
        <v>310</v>
      </c>
      <c r="B310" s="343"/>
      <c r="C310" s="343"/>
      <c r="D310" s="344"/>
      <c r="E310" s="340"/>
      <c r="F310" s="341">
        <v>65888.87</v>
      </c>
      <c r="G310" s="341">
        <v>65888.87</v>
      </c>
      <c r="H310" s="490">
        <f aca="true" t="shared" si="23" ref="H310:H316">SUM(G310/F310)</f>
        <v>1</v>
      </c>
      <c r="I310" s="341"/>
      <c r="J310" s="416"/>
    </row>
    <row r="311" spans="1:10" ht="63.75">
      <c r="A311" s="244" t="s">
        <v>311</v>
      </c>
      <c r="B311" s="343"/>
      <c r="C311" s="343"/>
      <c r="D311" s="344"/>
      <c r="E311" s="340"/>
      <c r="F311" s="345">
        <v>34550.59</v>
      </c>
      <c r="G311" s="345">
        <v>34550.59</v>
      </c>
      <c r="H311" s="490">
        <f t="shared" si="23"/>
        <v>1</v>
      </c>
      <c r="I311" s="341"/>
      <c r="J311" s="417"/>
    </row>
    <row r="312" spans="1:10" ht="63.75">
      <c r="A312" s="244" t="s">
        <v>345</v>
      </c>
      <c r="B312" s="343"/>
      <c r="C312" s="343"/>
      <c r="D312" s="344"/>
      <c r="E312" s="340"/>
      <c r="F312" s="341">
        <v>74847.06</v>
      </c>
      <c r="G312" s="345">
        <v>57430.84</v>
      </c>
      <c r="H312" s="490">
        <f t="shared" si="23"/>
        <v>0.7673092303157932</v>
      </c>
      <c r="I312" s="341"/>
      <c r="J312" s="417" t="s">
        <v>620</v>
      </c>
    </row>
    <row r="313" spans="1:10" ht="38.25">
      <c r="A313" s="244" t="s">
        <v>220</v>
      </c>
      <c r="B313" s="343"/>
      <c r="C313" s="343"/>
      <c r="D313" s="344"/>
      <c r="E313" s="340"/>
      <c r="F313" s="345">
        <v>150000</v>
      </c>
      <c r="G313" s="345">
        <v>150000</v>
      </c>
      <c r="H313" s="490">
        <f t="shared" si="23"/>
        <v>1</v>
      </c>
      <c r="I313" s="341"/>
      <c r="J313" s="418"/>
    </row>
    <row r="314" spans="1:10" ht="63.75">
      <c r="A314" s="244" t="s">
        <v>221</v>
      </c>
      <c r="B314" s="343"/>
      <c r="C314" s="343"/>
      <c r="D314" s="344"/>
      <c r="E314" s="340"/>
      <c r="F314" s="345">
        <v>4829.1</v>
      </c>
      <c r="G314" s="345">
        <v>4829.1</v>
      </c>
      <c r="H314" s="490">
        <f t="shared" si="23"/>
        <v>1</v>
      </c>
      <c r="I314" s="341"/>
      <c r="J314" s="418"/>
    </row>
    <row r="315" spans="1:10" ht="51">
      <c r="A315" s="244" t="s">
        <v>222</v>
      </c>
      <c r="B315" s="343"/>
      <c r="C315" s="343"/>
      <c r="D315" s="344"/>
      <c r="E315" s="340"/>
      <c r="F315" s="345">
        <v>250000</v>
      </c>
      <c r="G315" s="345">
        <v>250000</v>
      </c>
      <c r="H315" s="490">
        <f t="shared" si="23"/>
        <v>1</v>
      </c>
      <c r="I315" s="341"/>
      <c r="J315" s="418"/>
    </row>
    <row r="316" spans="1:10" ht="89.25">
      <c r="A316" s="207" t="s">
        <v>711</v>
      </c>
      <c r="B316" s="343"/>
      <c r="C316" s="343"/>
      <c r="D316" s="344"/>
      <c r="E316" s="340"/>
      <c r="F316" s="345">
        <v>5000</v>
      </c>
      <c r="G316" s="345">
        <v>5000</v>
      </c>
      <c r="H316" s="490">
        <f t="shared" si="23"/>
        <v>1</v>
      </c>
      <c r="I316" s="341"/>
      <c r="J316" s="418"/>
    </row>
    <row r="317" spans="1:10" ht="25.5">
      <c r="A317" s="245" t="s">
        <v>713</v>
      </c>
      <c r="B317" s="347">
        <v>0</v>
      </c>
      <c r="C317" s="347">
        <v>0</v>
      </c>
      <c r="D317" s="249">
        <f>C317-B317</f>
        <v>0</v>
      </c>
      <c r="E317" s="249">
        <v>1</v>
      </c>
      <c r="F317" s="348"/>
      <c r="G317" s="348"/>
      <c r="H317" s="490"/>
      <c r="I317" s="347"/>
      <c r="J317" s="543"/>
    </row>
    <row r="318" spans="1:10" ht="25.5">
      <c r="A318" s="245" t="s">
        <v>714</v>
      </c>
      <c r="B318" s="347">
        <v>24</v>
      </c>
      <c r="C318" s="347">
        <v>24</v>
      </c>
      <c r="D318" s="249">
        <f>C318-B318</f>
        <v>0</v>
      </c>
      <c r="E318" s="249">
        <f>C318/B318</f>
        <v>1</v>
      </c>
      <c r="F318" s="348"/>
      <c r="G318" s="348"/>
      <c r="H318" s="490"/>
      <c r="I318" s="347"/>
      <c r="J318" s="543"/>
    </row>
    <row r="319" spans="1:10" ht="38.25">
      <c r="A319" s="246" t="s">
        <v>715</v>
      </c>
      <c r="B319" s="349">
        <v>0.186</v>
      </c>
      <c r="C319" s="349">
        <v>0</v>
      </c>
      <c r="D319" s="349">
        <f>C319-B319</f>
        <v>-0.186</v>
      </c>
      <c r="E319" s="349">
        <v>1</v>
      </c>
      <c r="F319" s="350"/>
      <c r="G319" s="351"/>
      <c r="H319" s="490"/>
      <c r="I319" s="351"/>
      <c r="J319" s="543"/>
    </row>
    <row r="320" spans="1:10" ht="25.5">
      <c r="A320" s="246" t="s">
        <v>716</v>
      </c>
      <c r="B320" s="349">
        <v>63.8</v>
      </c>
      <c r="C320" s="349">
        <v>60.65</v>
      </c>
      <c r="D320" s="349">
        <f aca="true" t="shared" si="24" ref="D320:D373">C320-B320</f>
        <v>-3.1499999999999986</v>
      </c>
      <c r="E320" s="349">
        <f aca="true" t="shared" si="25" ref="E320:E370">C320/B320</f>
        <v>0.950626959247649</v>
      </c>
      <c r="F320" s="350"/>
      <c r="G320" s="351"/>
      <c r="H320" s="490"/>
      <c r="I320" s="351"/>
      <c r="J320" s="543"/>
    </row>
    <row r="321" spans="1:10" ht="25.5">
      <c r="A321" s="246" t="s">
        <v>717</v>
      </c>
      <c r="B321" s="349">
        <v>78.5</v>
      </c>
      <c r="C321" s="349">
        <v>75.5</v>
      </c>
      <c r="D321" s="349">
        <f t="shared" si="24"/>
        <v>-3</v>
      </c>
      <c r="E321" s="349">
        <f t="shared" si="25"/>
        <v>0.9617834394904459</v>
      </c>
      <c r="F321" s="350"/>
      <c r="G321" s="351"/>
      <c r="H321" s="490"/>
      <c r="I321" s="351"/>
      <c r="J321" s="543"/>
    </row>
    <row r="322" spans="1:10" ht="25.5">
      <c r="A322" s="246" t="s">
        <v>718</v>
      </c>
      <c r="B322" s="349">
        <v>7.7</v>
      </c>
      <c r="C322" s="349">
        <v>2.876</v>
      </c>
      <c r="D322" s="349">
        <f t="shared" si="24"/>
        <v>-4.824</v>
      </c>
      <c r="E322" s="349">
        <f t="shared" si="25"/>
        <v>0.3735064935064935</v>
      </c>
      <c r="F322" s="350"/>
      <c r="G322" s="351"/>
      <c r="H322" s="490"/>
      <c r="I322" s="351"/>
      <c r="J322" s="543"/>
    </row>
    <row r="323" spans="1:10" ht="25.5">
      <c r="A323" s="246" t="s">
        <v>719</v>
      </c>
      <c r="B323" s="349">
        <v>977.27</v>
      </c>
      <c r="C323" s="349">
        <v>178.234</v>
      </c>
      <c r="D323" s="349">
        <f t="shared" si="24"/>
        <v>-799.036</v>
      </c>
      <c r="E323" s="349">
        <f t="shared" si="25"/>
        <v>0.1823794857101927</v>
      </c>
      <c r="F323" s="350"/>
      <c r="G323" s="351"/>
      <c r="H323" s="490"/>
      <c r="I323" s="351"/>
      <c r="J323" s="543"/>
    </row>
    <row r="324" spans="1:10" ht="38.25">
      <c r="A324" s="246" t="s">
        <v>720</v>
      </c>
      <c r="B324" s="349">
        <v>23.94</v>
      </c>
      <c r="C324" s="349">
        <v>24.001</v>
      </c>
      <c r="D324" s="349">
        <f t="shared" si="24"/>
        <v>0.06099999999999994</v>
      </c>
      <c r="E324" s="491">
        <f>B324/C324</f>
        <v>0.9974584392316986</v>
      </c>
      <c r="F324" s="350"/>
      <c r="G324" s="351"/>
      <c r="H324" s="487"/>
      <c r="I324" s="351"/>
      <c r="J324" s="273"/>
    </row>
    <row r="325" spans="1:10" ht="25.5">
      <c r="A325" s="246" t="s">
        <v>721</v>
      </c>
      <c r="B325" s="349">
        <v>108983.3</v>
      </c>
      <c r="C325" s="349">
        <v>105225.458</v>
      </c>
      <c r="D325" s="349">
        <f t="shared" si="24"/>
        <v>-3757.842000000004</v>
      </c>
      <c r="E325" s="491">
        <f t="shared" si="25"/>
        <v>0.9655191024679928</v>
      </c>
      <c r="F325" s="350"/>
      <c r="G325" s="351"/>
      <c r="H325" s="487"/>
      <c r="I325" s="351"/>
      <c r="J325" s="273"/>
    </row>
    <row r="326" spans="1:10" ht="25.5">
      <c r="A326" s="246" t="s">
        <v>722</v>
      </c>
      <c r="B326" s="349">
        <v>298.6</v>
      </c>
      <c r="C326" s="349">
        <v>287.5</v>
      </c>
      <c r="D326" s="349">
        <f t="shared" si="24"/>
        <v>-11.100000000000023</v>
      </c>
      <c r="E326" s="491">
        <f t="shared" si="25"/>
        <v>0.9628265237776289</v>
      </c>
      <c r="F326" s="350"/>
      <c r="G326" s="351"/>
      <c r="H326" s="487"/>
      <c r="I326" s="351"/>
      <c r="J326" s="273"/>
    </row>
    <row r="327" spans="1:10" ht="25.5">
      <c r="A327" s="246" t="s">
        <v>723</v>
      </c>
      <c r="B327" s="349">
        <v>0.009</v>
      </c>
      <c r="C327" s="349">
        <v>0.013</v>
      </c>
      <c r="D327" s="349">
        <f t="shared" si="24"/>
        <v>0.004</v>
      </c>
      <c r="E327" s="491">
        <f t="shared" si="25"/>
        <v>1.4444444444444444</v>
      </c>
      <c r="F327" s="350"/>
      <c r="G327" s="351"/>
      <c r="H327" s="487"/>
      <c r="I327" s="351"/>
      <c r="J327" s="273"/>
    </row>
    <row r="328" spans="1:10" ht="25.5">
      <c r="A328" s="246" t="s">
        <v>724</v>
      </c>
      <c r="B328" s="249">
        <v>0.003</v>
      </c>
      <c r="C328" s="249">
        <v>0.004</v>
      </c>
      <c r="D328" s="249">
        <f t="shared" si="24"/>
        <v>0.001</v>
      </c>
      <c r="E328" s="491">
        <f t="shared" si="25"/>
        <v>1.3333333333333333</v>
      </c>
      <c r="F328" s="350"/>
      <c r="G328" s="351"/>
      <c r="H328" s="487"/>
      <c r="I328" s="351"/>
      <c r="J328" s="273"/>
    </row>
    <row r="329" spans="1:10" ht="25.5">
      <c r="A329" s="245" t="s">
        <v>725</v>
      </c>
      <c r="B329" s="249">
        <v>0</v>
      </c>
      <c r="C329" s="249">
        <v>0</v>
      </c>
      <c r="D329" s="249">
        <f t="shared" si="24"/>
        <v>0</v>
      </c>
      <c r="E329" s="491">
        <v>1</v>
      </c>
      <c r="F329" s="350"/>
      <c r="G329" s="351"/>
      <c r="H329" s="487"/>
      <c r="I329" s="351"/>
      <c r="J329" s="273"/>
    </row>
    <row r="330" spans="1:10" ht="25.5">
      <c r="A330" s="245" t="s">
        <v>726</v>
      </c>
      <c r="B330" s="249">
        <v>24</v>
      </c>
      <c r="C330" s="249">
        <v>24</v>
      </c>
      <c r="D330" s="249">
        <f t="shared" si="24"/>
        <v>0</v>
      </c>
      <c r="E330" s="491">
        <f t="shared" si="25"/>
        <v>1</v>
      </c>
      <c r="F330" s="350"/>
      <c r="G330" s="351"/>
      <c r="H330" s="487"/>
      <c r="I330" s="351"/>
      <c r="J330" s="273"/>
    </row>
    <row r="331" spans="1:10" ht="38.25">
      <c r="A331" s="246" t="s">
        <v>727</v>
      </c>
      <c r="B331" s="249">
        <v>0.09</v>
      </c>
      <c r="C331" s="249">
        <v>0.054</v>
      </c>
      <c r="D331" s="249">
        <f t="shared" si="24"/>
        <v>-0.036</v>
      </c>
      <c r="E331" s="491">
        <f t="shared" si="25"/>
        <v>0.6</v>
      </c>
      <c r="F331" s="350"/>
      <c r="G331" s="351"/>
      <c r="H331" s="487"/>
      <c r="I331" s="351"/>
      <c r="J331" s="273"/>
    </row>
    <row r="332" spans="1:10" ht="38.25">
      <c r="A332" s="246" t="s">
        <v>728</v>
      </c>
      <c r="B332" s="249">
        <v>7.66</v>
      </c>
      <c r="C332" s="249">
        <v>9.903</v>
      </c>
      <c r="D332" s="249">
        <f t="shared" si="24"/>
        <v>2.2430000000000003</v>
      </c>
      <c r="E332" s="491">
        <f>B332/C332</f>
        <v>0.7735029788952842</v>
      </c>
      <c r="F332" s="350"/>
      <c r="G332" s="351"/>
      <c r="H332" s="487"/>
      <c r="I332" s="351"/>
      <c r="J332" s="273"/>
    </row>
    <row r="333" spans="1:10" ht="12.75">
      <c r="A333" s="246" t="s">
        <v>729</v>
      </c>
      <c r="B333" s="249">
        <v>2.15</v>
      </c>
      <c r="C333" s="249">
        <v>2.24</v>
      </c>
      <c r="D333" s="249">
        <f t="shared" si="24"/>
        <v>0.0900000000000003</v>
      </c>
      <c r="E333" s="491">
        <f>B333/C333</f>
        <v>0.9598214285714285</v>
      </c>
      <c r="F333" s="350"/>
      <c r="G333" s="351"/>
      <c r="H333" s="487"/>
      <c r="I333" s="351"/>
      <c r="J333" s="273"/>
    </row>
    <row r="334" spans="1:10" ht="38.25">
      <c r="A334" s="245" t="s">
        <v>730</v>
      </c>
      <c r="B334" s="249">
        <v>98</v>
      </c>
      <c r="C334" s="249">
        <v>98</v>
      </c>
      <c r="D334" s="249">
        <f t="shared" si="24"/>
        <v>0</v>
      </c>
      <c r="E334" s="491">
        <f t="shared" si="25"/>
        <v>1</v>
      </c>
      <c r="F334" s="350"/>
      <c r="G334" s="351"/>
      <c r="H334" s="487"/>
      <c r="I334" s="351"/>
      <c r="J334" s="273"/>
    </row>
    <row r="335" spans="1:10" ht="25.5">
      <c r="A335" s="245" t="s">
        <v>731</v>
      </c>
      <c r="B335" s="249">
        <v>0.12</v>
      </c>
      <c r="C335" s="249">
        <v>0.12</v>
      </c>
      <c r="D335" s="249">
        <f t="shared" si="24"/>
        <v>0</v>
      </c>
      <c r="E335" s="491">
        <f t="shared" si="25"/>
        <v>1</v>
      </c>
      <c r="F335" s="350"/>
      <c r="G335" s="351"/>
      <c r="H335" s="487"/>
      <c r="I335" s="351"/>
      <c r="J335" s="273"/>
    </row>
    <row r="336" spans="1:10" ht="25.5">
      <c r="A336" s="246" t="s">
        <v>732</v>
      </c>
      <c r="B336" s="249">
        <v>4873.6</v>
      </c>
      <c r="C336" s="249">
        <v>4651.61</v>
      </c>
      <c r="D336" s="249">
        <f t="shared" si="24"/>
        <v>-221.9900000000007</v>
      </c>
      <c r="E336" s="491">
        <f t="shared" si="25"/>
        <v>0.9544505088640839</v>
      </c>
      <c r="F336" s="350"/>
      <c r="G336" s="351"/>
      <c r="H336" s="487"/>
      <c r="I336" s="351"/>
      <c r="J336" s="273"/>
    </row>
    <row r="337" spans="1:10" ht="12.75">
      <c r="A337" s="246" t="s">
        <v>733</v>
      </c>
      <c r="B337" s="249">
        <v>13.35</v>
      </c>
      <c r="C337" s="249">
        <v>12.74</v>
      </c>
      <c r="D337" s="249">
        <f t="shared" si="24"/>
        <v>-0.6099999999999994</v>
      </c>
      <c r="E337" s="491">
        <f t="shared" si="25"/>
        <v>0.954307116104869</v>
      </c>
      <c r="F337" s="350"/>
      <c r="G337" s="351"/>
      <c r="H337" s="487"/>
      <c r="I337" s="351"/>
      <c r="J337" s="273"/>
    </row>
    <row r="338" spans="1:10" ht="25.5">
      <c r="A338" s="246" t="s">
        <v>734</v>
      </c>
      <c r="B338" s="249">
        <v>0.023</v>
      </c>
      <c r="C338" s="249">
        <v>0.019</v>
      </c>
      <c r="D338" s="249">
        <f t="shared" si="24"/>
        <v>-0.004</v>
      </c>
      <c r="E338" s="491">
        <f t="shared" si="25"/>
        <v>0.8260869565217391</v>
      </c>
      <c r="F338" s="350"/>
      <c r="G338" s="351"/>
      <c r="H338" s="487"/>
      <c r="I338" s="351"/>
      <c r="J338" s="273"/>
    </row>
    <row r="339" spans="1:10" ht="25.5">
      <c r="A339" s="246" t="s">
        <v>478</v>
      </c>
      <c r="B339" s="249">
        <v>0.17</v>
      </c>
      <c r="C339" s="249">
        <v>0.15</v>
      </c>
      <c r="D339" s="249">
        <f t="shared" si="24"/>
        <v>-0.020000000000000018</v>
      </c>
      <c r="E339" s="491">
        <f t="shared" si="25"/>
        <v>0.8823529411764705</v>
      </c>
      <c r="F339" s="350"/>
      <c r="G339" s="351"/>
      <c r="H339" s="487"/>
      <c r="I339" s="351"/>
      <c r="J339" s="273"/>
    </row>
    <row r="340" spans="1:10" ht="25.5">
      <c r="A340" s="245" t="s">
        <v>479</v>
      </c>
      <c r="B340" s="249">
        <v>0</v>
      </c>
      <c r="C340" s="249">
        <v>0</v>
      </c>
      <c r="D340" s="249">
        <f t="shared" si="24"/>
        <v>0</v>
      </c>
      <c r="E340" s="249">
        <v>1</v>
      </c>
      <c r="F340" s="350"/>
      <c r="G340" s="351"/>
      <c r="H340" s="487"/>
      <c r="I340" s="351"/>
      <c r="J340" s="273"/>
    </row>
    <row r="341" spans="1:10" ht="25.5">
      <c r="A341" s="245" t="s">
        <v>480</v>
      </c>
      <c r="B341" s="249">
        <v>24</v>
      </c>
      <c r="C341" s="249">
        <v>24</v>
      </c>
      <c r="D341" s="249">
        <f t="shared" si="24"/>
        <v>0</v>
      </c>
      <c r="E341" s="249">
        <f t="shared" si="25"/>
        <v>1</v>
      </c>
      <c r="F341" s="350"/>
      <c r="G341" s="351"/>
      <c r="H341" s="487"/>
      <c r="I341" s="351"/>
      <c r="J341" s="273"/>
    </row>
    <row r="342" spans="1:10" ht="51">
      <c r="A342" s="245" t="s">
        <v>481</v>
      </c>
      <c r="B342" s="249">
        <v>0</v>
      </c>
      <c r="C342" s="249">
        <v>0</v>
      </c>
      <c r="D342" s="249">
        <f t="shared" si="24"/>
        <v>0</v>
      </c>
      <c r="E342" s="249">
        <v>1</v>
      </c>
      <c r="F342" s="350"/>
      <c r="G342" s="351"/>
      <c r="H342" s="487"/>
      <c r="I342" s="351"/>
      <c r="J342" s="273"/>
    </row>
    <row r="343" spans="1:10" ht="51">
      <c r="A343" s="245" t="s">
        <v>482</v>
      </c>
      <c r="B343" s="249">
        <v>0</v>
      </c>
      <c r="C343" s="249">
        <v>0</v>
      </c>
      <c r="D343" s="249">
        <f t="shared" si="24"/>
        <v>0</v>
      </c>
      <c r="E343" s="249">
        <v>1</v>
      </c>
      <c r="F343" s="350"/>
      <c r="G343" s="351"/>
      <c r="H343" s="487"/>
      <c r="I343" s="351"/>
      <c r="J343" s="273"/>
    </row>
    <row r="344" spans="1:10" ht="38.25">
      <c r="A344" s="246" t="s">
        <v>483</v>
      </c>
      <c r="B344" s="249">
        <v>0.408</v>
      </c>
      <c r="C344" s="249">
        <v>0</v>
      </c>
      <c r="D344" s="249">
        <f t="shared" si="24"/>
        <v>-0.408</v>
      </c>
      <c r="E344" s="249">
        <v>1</v>
      </c>
      <c r="F344" s="350"/>
      <c r="G344" s="351"/>
      <c r="H344" s="487"/>
      <c r="I344" s="351"/>
      <c r="J344" s="273"/>
    </row>
    <row r="345" spans="1:10" ht="25.5">
      <c r="A345" s="246" t="s">
        <v>484</v>
      </c>
      <c r="B345" s="249">
        <v>120.48</v>
      </c>
      <c r="C345" s="249">
        <v>151.09</v>
      </c>
      <c r="D345" s="249">
        <f t="shared" si="24"/>
        <v>30.61</v>
      </c>
      <c r="E345" s="491">
        <f>B345/C345</f>
        <v>0.797405519888808</v>
      </c>
      <c r="F345" s="350"/>
      <c r="G345" s="351"/>
      <c r="H345" s="487"/>
      <c r="I345" s="351"/>
      <c r="J345" s="273"/>
    </row>
    <row r="346" spans="1:10" ht="25.5">
      <c r="A346" s="246" t="s">
        <v>485</v>
      </c>
      <c r="B346" s="249">
        <v>69.9</v>
      </c>
      <c r="C346" s="249">
        <v>86.73</v>
      </c>
      <c r="D346" s="249">
        <f t="shared" si="24"/>
        <v>16.83</v>
      </c>
      <c r="E346" s="491">
        <f>B346/C346</f>
        <v>0.8059494984434452</v>
      </c>
      <c r="F346" s="350"/>
      <c r="G346" s="351"/>
      <c r="H346" s="487"/>
      <c r="I346" s="351"/>
      <c r="J346" s="273"/>
    </row>
    <row r="347" spans="1:10" ht="25.5">
      <c r="A347" s="246" t="s">
        <v>486</v>
      </c>
      <c r="B347" s="249">
        <v>21.5</v>
      </c>
      <c r="C347" s="249">
        <v>27.82</v>
      </c>
      <c r="D347" s="249">
        <f t="shared" si="24"/>
        <v>6.32</v>
      </c>
      <c r="E347" s="491">
        <f>B347/C347</f>
        <v>0.7728253055355859</v>
      </c>
      <c r="F347" s="350"/>
      <c r="G347" s="351"/>
      <c r="H347" s="487"/>
      <c r="I347" s="351"/>
      <c r="J347" s="273"/>
    </row>
    <row r="348" spans="1:10" ht="25.5">
      <c r="A348" s="246" t="s">
        <v>487</v>
      </c>
      <c r="B348" s="249">
        <v>8045</v>
      </c>
      <c r="C348" s="249">
        <v>10292.652</v>
      </c>
      <c r="D348" s="249">
        <f t="shared" si="24"/>
        <v>2247.652</v>
      </c>
      <c r="E348" s="491">
        <f>B348/C348</f>
        <v>0.7816255713299157</v>
      </c>
      <c r="F348" s="350"/>
      <c r="G348" s="351"/>
      <c r="H348" s="487"/>
      <c r="I348" s="351"/>
      <c r="J348" s="273"/>
    </row>
    <row r="349" spans="1:10" ht="38.25">
      <c r="A349" s="246" t="s">
        <v>488</v>
      </c>
      <c r="B349" s="249">
        <v>0.321</v>
      </c>
      <c r="C349" s="249">
        <v>0.512</v>
      </c>
      <c r="D349" s="249">
        <f t="shared" si="24"/>
        <v>0.191</v>
      </c>
      <c r="E349" s="491">
        <f>B349/C349</f>
        <v>0.626953125</v>
      </c>
      <c r="F349" s="350"/>
      <c r="G349" s="351"/>
      <c r="H349" s="487"/>
      <c r="I349" s="351"/>
      <c r="J349" s="273"/>
    </row>
    <row r="350" spans="1:10" ht="12.75">
      <c r="A350" s="246" t="s">
        <v>489</v>
      </c>
      <c r="B350" s="249">
        <v>94.29</v>
      </c>
      <c r="C350" s="249">
        <v>89.17</v>
      </c>
      <c r="D350" s="249">
        <f t="shared" si="24"/>
        <v>-5.1200000000000045</v>
      </c>
      <c r="E350" s="491">
        <f t="shared" si="25"/>
        <v>0.9456994379043376</v>
      </c>
      <c r="F350" s="350"/>
      <c r="G350" s="351"/>
      <c r="H350" s="487"/>
      <c r="I350" s="351"/>
      <c r="J350" s="273"/>
    </row>
    <row r="351" spans="1:10" ht="25.5">
      <c r="A351" s="48" t="s">
        <v>491</v>
      </c>
      <c r="B351" s="249">
        <v>6919.99</v>
      </c>
      <c r="C351" s="249">
        <v>4490.54</v>
      </c>
      <c r="D351" s="249">
        <f t="shared" si="24"/>
        <v>-2429.45</v>
      </c>
      <c r="E351" s="491">
        <f t="shared" si="25"/>
        <v>0.648922903067779</v>
      </c>
      <c r="F351" s="350"/>
      <c r="G351" s="351"/>
      <c r="H351" s="487"/>
      <c r="I351" s="351"/>
      <c r="J351" s="273"/>
    </row>
    <row r="352" spans="1:10" ht="12.75">
      <c r="A352" s="48" t="s">
        <v>116</v>
      </c>
      <c r="B352" s="249">
        <v>18.96</v>
      </c>
      <c r="C352" s="249">
        <v>12.303</v>
      </c>
      <c r="D352" s="249">
        <f t="shared" si="24"/>
        <v>-6.657</v>
      </c>
      <c r="E352" s="491">
        <f t="shared" si="25"/>
        <v>0.6488924050632912</v>
      </c>
      <c r="F352" s="350"/>
      <c r="G352" s="351"/>
      <c r="H352" s="487"/>
      <c r="I352" s="351"/>
      <c r="J352" s="273"/>
    </row>
    <row r="353" spans="1:10" ht="25.5">
      <c r="A353" s="48" t="s">
        <v>495</v>
      </c>
      <c r="B353" s="249">
        <v>0</v>
      </c>
      <c r="C353" s="249">
        <v>0</v>
      </c>
      <c r="D353" s="249">
        <f t="shared" si="24"/>
        <v>0</v>
      </c>
      <c r="E353" s="491">
        <v>0</v>
      </c>
      <c r="F353" s="350"/>
      <c r="G353" s="351"/>
      <c r="H353" s="487"/>
      <c r="I353" s="351"/>
      <c r="J353" s="273"/>
    </row>
    <row r="354" spans="1:10" ht="25.5">
      <c r="A354" s="48" t="s">
        <v>480</v>
      </c>
      <c r="B354" s="249">
        <v>100</v>
      </c>
      <c r="C354" s="249">
        <v>100</v>
      </c>
      <c r="D354" s="249">
        <f t="shared" si="24"/>
        <v>0</v>
      </c>
      <c r="E354" s="491">
        <f t="shared" si="25"/>
        <v>1</v>
      </c>
      <c r="F354" s="350"/>
      <c r="G354" s="351"/>
      <c r="H354" s="487"/>
      <c r="I354" s="351"/>
      <c r="J354" s="273"/>
    </row>
    <row r="355" spans="1:10" ht="38.25">
      <c r="A355" s="48" t="s">
        <v>117</v>
      </c>
      <c r="B355" s="249">
        <v>0.007</v>
      </c>
      <c r="C355" s="249">
        <v>0</v>
      </c>
      <c r="D355" s="249">
        <f t="shared" si="24"/>
        <v>-0.007</v>
      </c>
      <c r="E355" s="491">
        <f t="shared" si="25"/>
        <v>0</v>
      </c>
      <c r="F355" s="350"/>
      <c r="G355" s="351"/>
      <c r="H355" s="487"/>
      <c r="I355" s="351"/>
      <c r="J355" s="273"/>
    </row>
    <row r="356" spans="1:10" ht="25.5">
      <c r="A356" s="48" t="s">
        <v>118</v>
      </c>
      <c r="B356" s="249">
        <v>75.23</v>
      </c>
      <c r="C356" s="249">
        <v>125.12</v>
      </c>
      <c r="D356" s="249">
        <f t="shared" si="24"/>
        <v>49.89</v>
      </c>
      <c r="E356" s="491">
        <f>B356/C356</f>
        <v>0.6012627877237852</v>
      </c>
      <c r="F356" s="350"/>
      <c r="G356" s="351"/>
      <c r="H356" s="487"/>
      <c r="I356" s="351"/>
      <c r="J356" s="273"/>
    </row>
    <row r="357" spans="1:10" ht="25.5">
      <c r="A357" s="48" t="s">
        <v>119</v>
      </c>
      <c r="B357" s="249">
        <v>55.67</v>
      </c>
      <c r="C357" s="249">
        <v>82.34</v>
      </c>
      <c r="D357" s="249">
        <f t="shared" si="24"/>
        <v>26.67</v>
      </c>
      <c r="E357" s="491">
        <f>B357/C357</f>
        <v>0.6760991012873452</v>
      </c>
      <c r="F357" s="350"/>
      <c r="G357" s="351"/>
      <c r="H357" s="487"/>
      <c r="I357" s="351"/>
      <c r="J357" s="273"/>
    </row>
    <row r="358" spans="1:10" ht="25.5">
      <c r="A358" s="48" t="s">
        <v>120</v>
      </c>
      <c r="B358" s="249">
        <v>1.4</v>
      </c>
      <c r="C358" s="249">
        <v>0</v>
      </c>
      <c r="D358" s="249">
        <f t="shared" si="24"/>
        <v>-1.4</v>
      </c>
      <c r="E358" s="491">
        <v>1</v>
      </c>
      <c r="F358" s="350"/>
      <c r="G358" s="351"/>
      <c r="H358" s="487"/>
      <c r="I358" s="351"/>
      <c r="J358" s="273"/>
    </row>
    <row r="359" spans="1:10" ht="25.5">
      <c r="A359" s="48" t="s">
        <v>121</v>
      </c>
      <c r="B359" s="249">
        <v>0</v>
      </c>
      <c r="C359" s="249">
        <v>0</v>
      </c>
      <c r="D359" s="249">
        <f t="shared" si="24"/>
        <v>0</v>
      </c>
      <c r="E359" s="491">
        <v>1</v>
      </c>
      <c r="F359" s="350"/>
      <c r="G359" s="351"/>
      <c r="H359" s="487"/>
      <c r="I359" s="351"/>
      <c r="J359" s="273"/>
    </row>
    <row r="360" spans="1:10" ht="38.25">
      <c r="A360" s="48" t="s">
        <v>122</v>
      </c>
      <c r="B360" s="249">
        <v>0.561</v>
      </c>
      <c r="C360" s="249">
        <v>0.863</v>
      </c>
      <c r="D360" s="249">
        <f t="shared" si="24"/>
        <v>0.30199999999999994</v>
      </c>
      <c r="E360" s="491">
        <f>B360/C360</f>
        <v>0.6500579374275783</v>
      </c>
      <c r="F360" s="350"/>
      <c r="G360" s="351"/>
      <c r="H360" s="487"/>
      <c r="I360" s="351"/>
      <c r="J360" s="273"/>
    </row>
    <row r="361" spans="1:10" ht="12.75">
      <c r="A361" s="48" t="s">
        <v>123</v>
      </c>
      <c r="B361" s="249">
        <v>133.87</v>
      </c>
      <c r="C361" s="249">
        <v>86.08</v>
      </c>
      <c r="D361" s="249">
        <f t="shared" si="24"/>
        <v>-47.790000000000006</v>
      </c>
      <c r="E361" s="249">
        <f t="shared" si="25"/>
        <v>0.643011877194293</v>
      </c>
      <c r="F361" s="350"/>
      <c r="G361" s="351"/>
      <c r="H361" s="487"/>
      <c r="I361" s="351"/>
      <c r="J361" s="273"/>
    </row>
    <row r="362" spans="1:10" ht="51">
      <c r="A362" s="245" t="s">
        <v>490</v>
      </c>
      <c r="B362" s="249">
        <v>100</v>
      </c>
      <c r="C362" s="249">
        <v>100</v>
      </c>
      <c r="D362" s="249">
        <f t="shared" si="24"/>
        <v>0</v>
      </c>
      <c r="E362" s="249">
        <f t="shared" si="25"/>
        <v>1</v>
      </c>
      <c r="F362" s="350"/>
      <c r="G362" s="351"/>
      <c r="H362" s="487"/>
      <c r="I362" s="351"/>
      <c r="J362" s="273"/>
    </row>
    <row r="363" spans="1:10" ht="25.5">
      <c r="A363" s="245" t="s">
        <v>491</v>
      </c>
      <c r="B363" s="246">
        <v>130879.9</v>
      </c>
      <c r="C363" s="249">
        <v>116374.315</v>
      </c>
      <c r="D363" s="249">
        <f t="shared" si="24"/>
        <v>-14505.584999999992</v>
      </c>
      <c r="E363" s="249">
        <f t="shared" si="25"/>
        <v>0.8891687340836906</v>
      </c>
      <c r="F363" s="350"/>
      <c r="G363" s="351"/>
      <c r="H363" s="487"/>
      <c r="I363" s="351"/>
      <c r="J363" s="273"/>
    </row>
    <row r="364" spans="1:10" ht="12.75">
      <c r="A364" s="245" t="s">
        <v>492</v>
      </c>
      <c r="B364" s="246">
        <v>358.58</v>
      </c>
      <c r="C364" s="249">
        <v>318.834</v>
      </c>
      <c r="D364" s="249">
        <f t="shared" si="24"/>
        <v>-39.74599999999998</v>
      </c>
      <c r="E364" s="249">
        <f t="shared" si="25"/>
        <v>0.8891572313012438</v>
      </c>
      <c r="F364" s="350"/>
      <c r="G364" s="351"/>
      <c r="H364" s="487"/>
      <c r="I364" s="351"/>
      <c r="J364" s="273"/>
    </row>
    <row r="365" spans="1:10" ht="25.5">
      <c r="A365" s="245" t="s">
        <v>493</v>
      </c>
      <c r="B365" s="249">
        <v>4.95</v>
      </c>
      <c r="C365" s="249">
        <v>0.06</v>
      </c>
      <c r="D365" s="249">
        <f t="shared" si="24"/>
        <v>-4.890000000000001</v>
      </c>
      <c r="E365" s="249">
        <f t="shared" si="25"/>
        <v>0.01212121212121212</v>
      </c>
      <c r="F365" s="350"/>
      <c r="G365" s="351"/>
      <c r="H365" s="487"/>
      <c r="I365" s="351"/>
      <c r="J365" s="273"/>
    </row>
    <row r="366" spans="1:10" ht="25.5">
      <c r="A366" s="245" t="s">
        <v>494</v>
      </c>
      <c r="B366" s="249">
        <v>1.38</v>
      </c>
      <c r="C366" s="249">
        <v>0.188</v>
      </c>
      <c r="D366" s="249">
        <f t="shared" si="24"/>
        <v>-1.192</v>
      </c>
      <c r="E366" s="249">
        <f t="shared" si="25"/>
        <v>0.13623188405797101</v>
      </c>
      <c r="F366" s="350"/>
      <c r="G366" s="351"/>
      <c r="H366" s="487"/>
      <c r="I366" s="351"/>
      <c r="J366" s="273"/>
    </row>
    <row r="367" spans="1:10" ht="25.5">
      <c r="A367" s="245" t="s">
        <v>495</v>
      </c>
      <c r="B367" s="249">
        <v>0</v>
      </c>
      <c r="C367" s="249">
        <v>0</v>
      </c>
      <c r="D367" s="249">
        <f t="shared" si="24"/>
        <v>0</v>
      </c>
      <c r="E367" s="249">
        <v>1</v>
      </c>
      <c r="F367" s="350"/>
      <c r="G367" s="351"/>
      <c r="H367" s="487"/>
      <c r="I367" s="351"/>
      <c r="J367" s="273"/>
    </row>
    <row r="368" spans="1:10" ht="25.5">
      <c r="A368" s="245" t="s">
        <v>496</v>
      </c>
      <c r="B368" s="249">
        <v>24</v>
      </c>
      <c r="C368" s="249">
        <v>24</v>
      </c>
      <c r="D368" s="249">
        <f t="shared" si="24"/>
        <v>0</v>
      </c>
      <c r="E368" s="249">
        <f t="shared" si="25"/>
        <v>1</v>
      </c>
      <c r="F368" s="350"/>
      <c r="G368" s="351"/>
      <c r="H368" s="487"/>
      <c r="I368" s="351"/>
      <c r="J368" s="273"/>
    </row>
    <row r="369" spans="1:10" ht="38.25">
      <c r="A369" s="245" t="s">
        <v>497</v>
      </c>
      <c r="B369" s="249">
        <v>0</v>
      </c>
      <c r="C369" s="249">
        <v>0</v>
      </c>
      <c r="D369" s="249">
        <f t="shared" si="24"/>
        <v>0</v>
      </c>
      <c r="E369" s="249">
        <v>1</v>
      </c>
      <c r="F369" s="350"/>
      <c r="G369" s="351"/>
      <c r="H369" s="487"/>
      <c r="I369" s="351"/>
      <c r="J369" s="273"/>
    </row>
    <row r="370" spans="1:10" ht="12.75">
      <c r="A370" s="245" t="s">
        <v>498</v>
      </c>
      <c r="B370" s="249">
        <v>0.4</v>
      </c>
      <c r="C370" s="249">
        <v>0.4</v>
      </c>
      <c r="D370" s="249">
        <f t="shared" si="24"/>
        <v>0</v>
      </c>
      <c r="E370" s="249">
        <f t="shared" si="25"/>
        <v>1</v>
      </c>
      <c r="F370" s="350"/>
      <c r="G370" s="351"/>
      <c r="H370" s="487"/>
      <c r="I370" s="351"/>
      <c r="J370" s="273"/>
    </row>
    <row r="371" spans="1:10" ht="12.75">
      <c r="A371" s="245" t="s">
        <v>499</v>
      </c>
      <c r="B371" s="249">
        <v>136.61</v>
      </c>
      <c r="C371" s="249">
        <v>146.64</v>
      </c>
      <c r="D371" s="249">
        <f t="shared" si="24"/>
        <v>10.029999999999973</v>
      </c>
      <c r="E371" s="249">
        <f>B371/C371</f>
        <v>0.9316012002182217</v>
      </c>
      <c r="F371" s="350"/>
      <c r="G371" s="351"/>
      <c r="H371" s="487"/>
      <c r="I371" s="351"/>
      <c r="J371" s="273"/>
    </row>
    <row r="372" spans="1:10" ht="51">
      <c r="A372" s="245" t="s">
        <v>500</v>
      </c>
      <c r="B372" s="492">
        <v>1</v>
      </c>
      <c r="C372" s="492">
        <v>1</v>
      </c>
      <c r="D372" s="493">
        <f t="shared" si="24"/>
        <v>0</v>
      </c>
      <c r="E372" s="494">
        <f>C372/B372</f>
        <v>1</v>
      </c>
      <c r="F372" s="345"/>
      <c r="G372" s="345"/>
      <c r="H372" s="487"/>
      <c r="I372" s="341"/>
      <c r="J372" s="418"/>
    </row>
    <row r="373" spans="1:10" ht="12.75">
      <c r="A373" s="143" t="s">
        <v>316</v>
      </c>
      <c r="B373" s="352">
        <f>SUM(B317:B372)</f>
        <v>262664.878</v>
      </c>
      <c r="C373" s="352">
        <f>SUM(C317:C372)</f>
        <v>243211.72900000002</v>
      </c>
      <c r="D373" s="353">
        <f t="shared" si="24"/>
        <v>-19453.149000000005</v>
      </c>
      <c r="E373" s="495">
        <f>SUM(E317:E372)/47</f>
        <v>0.9910507634679202</v>
      </c>
      <c r="F373" s="352">
        <f>SUM(F308:F316)</f>
        <v>1636318.6300000001</v>
      </c>
      <c r="G373" s="352">
        <f>SUM(G308:G316)</f>
        <v>1618902.4100000001</v>
      </c>
      <c r="H373" s="495">
        <f>G373/F373</f>
        <v>0.9893564617057499</v>
      </c>
      <c r="I373" s="495">
        <f>E373/H373</f>
        <v>1.001712529131562</v>
      </c>
      <c r="J373" s="419"/>
    </row>
    <row r="374" spans="1:10" ht="28.5" customHeight="1">
      <c r="A374" s="106" t="s">
        <v>759</v>
      </c>
      <c r="B374" s="30"/>
      <c r="C374" s="30"/>
      <c r="D374" s="30"/>
      <c r="E374" s="130"/>
      <c r="F374" s="263">
        <f>F373/F885</f>
        <v>0.0006453917388432109</v>
      </c>
      <c r="G374" s="280">
        <f>G373/G885</f>
        <v>0.0006453667933193058</v>
      </c>
      <c r="H374" s="30"/>
      <c r="I374" s="30"/>
      <c r="J374" s="400"/>
    </row>
    <row r="375" spans="1:10" ht="17.25" customHeight="1">
      <c r="A375" s="557" t="s">
        <v>472</v>
      </c>
      <c r="B375" s="557"/>
      <c r="C375" s="557"/>
      <c r="D375" s="557"/>
      <c r="E375" s="557"/>
      <c r="F375" s="557"/>
      <c r="G375" s="557"/>
      <c r="H375" s="557"/>
      <c r="I375" s="557"/>
      <c r="J375" s="557"/>
    </row>
    <row r="376" spans="1:10" ht="54" customHeight="1">
      <c r="A376" s="133" t="s">
        <v>787</v>
      </c>
      <c r="B376" s="197"/>
      <c r="C376" s="197"/>
      <c r="D376" s="197"/>
      <c r="E376" s="173"/>
      <c r="F376" s="199">
        <v>2817022.14</v>
      </c>
      <c r="G376" s="199">
        <v>2817022.14</v>
      </c>
      <c r="H376" s="173">
        <f>G376/F376</f>
        <v>1</v>
      </c>
      <c r="I376" s="173"/>
      <c r="J376" s="59"/>
    </row>
    <row r="377" spans="1:10" ht="25.5">
      <c r="A377" s="133" t="s">
        <v>737</v>
      </c>
      <c r="B377" s="197"/>
      <c r="C377" s="197"/>
      <c r="D377" s="198"/>
      <c r="E377" s="173"/>
      <c r="F377" s="199">
        <v>12074341.57</v>
      </c>
      <c r="G377" s="199">
        <v>10879523.64</v>
      </c>
      <c r="H377" s="173">
        <f>G377/F377</f>
        <v>0.9010448790873489</v>
      </c>
      <c r="I377" s="173"/>
      <c r="J377" s="60" t="s">
        <v>621</v>
      </c>
    </row>
    <row r="378" spans="1:10" ht="38.25" customHeight="1">
      <c r="A378" s="133" t="s">
        <v>743</v>
      </c>
      <c r="B378" s="197"/>
      <c r="C378" s="197"/>
      <c r="D378" s="198"/>
      <c r="E378" s="173"/>
      <c r="F378" s="199">
        <v>1925658.43</v>
      </c>
      <c r="G378" s="199">
        <v>0</v>
      </c>
      <c r="H378" s="173">
        <f>G378/F378</f>
        <v>0</v>
      </c>
      <c r="I378" s="173"/>
      <c r="J378" s="60" t="s">
        <v>744</v>
      </c>
    </row>
    <row r="379" spans="1:10" ht="25.5">
      <c r="A379" s="133" t="s">
        <v>398</v>
      </c>
      <c r="B379" s="197">
        <v>108.892</v>
      </c>
      <c r="C379" s="197">
        <v>108.892</v>
      </c>
      <c r="D379" s="198">
        <f aca="true" t="shared" si="26" ref="D379:D384">C379-B379</f>
        <v>0</v>
      </c>
      <c r="E379" s="173">
        <f>B379/C379</f>
        <v>1</v>
      </c>
      <c r="F379" s="199"/>
      <c r="G379" s="199"/>
      <c r="H379" s="173"/>
      <c r="I379" s="173"/>
      <c r="J379" s="60"/>
    </row>
    <row r="380" spans="1:10" ht="38.25" customHeight="1">
      <c r="A380" s="133" t="s">
        <v>622</v>
      </c>
      <c r="B380" s="197">
        <v>7.3</v>
      </c>
      <c r="C380" s="197">
        <v>7.5</v>
      </c>
      <c r="D380" s="198">
        <f t="shared" si="26"/>
        <v>0.20000000000000018</v>
      </c>
      <c r="E380" s="173">
        <f>B380/C380</f>
        <v>0.9733333333333333</v>
      </c>
      <c r="F380" s="199"/>
      <c r="G380" s="199"/>
      <c r="H380" s="173"/>
      <c r="I380" s="173"/>
      <c r="J380" s="60" t="s">
        <v>623</v>
      </c>
    </row>
    <row r="381" spans="1:10" ht="50.25" customHeight="1">
      <c r="A381" s="48" t="s">
        <v>745</v>
      </c>
      <c r="B381" s="62">
        <v>2</v>
      </c>
      <c r="C381" s="62">
        <v>0</v>
      </c>
      <c r="D381" s="198">
        <f t="shared" si="26"/>
        <v>-2</v>
      </c>
      <c r="E381" s="173">
        <f>C381/B381</f>
        <v>0</v>
      </c>
      <c r="F381" s="199"/>
      <c r="G381" s="199"/>
      <c r="H381" s="173"/>
      <c r="I381" s="173"/>
      <c r="J381" s="60" t="s">
        <v>20</v>
      </c>
    </row>
    <row r="382" spans="1:10" ht="25.5">
      <c r="A382" s="48" t="s">
        <v>18</v>
      </c>
      <c r="B382" s="62">
        <v>601</v>
      </c>
      <c r="C382" s="62">
        <v>601</v>
      </c>
      <c r="D382" s="198">
        <f t="shared" si="26"/>
        <v>0</v>
      </c>
      <c r="E382" s="173">
        <f>B382/C382</f>
        <v>1</v>
      </c>
      <c r="F382" s="196"/>
      <c r="G382" s="196"/>
      <c r="H382" s="173"/>
      <c r="I382" s="173"/>
      <c r="J382" s="60"/>
    </row>
    <row r="383" spans="1:10" ht="25.5">
      <c r="A383" s="48" t="s">
        <v>63</v>
      </c>
      <c r="B383" s="62">
        <v>0.69</v>
      </c>
      <c r="C383" s="197">
        <v>0.69</v>
      </c>
      <c r="D383" s="197">
        <f t="shared" si="26"/>
        <v>0</v>
      </c>
      <c r="E383" s="173">
        <f>C383/B383</f>
        <v>1</v>
      </c>
      <c r="F383" s="196"/>
      <c r="G383" s="196"/>
      <c r="H383" s="196"/>
      <c r="I383" s="196"/>
      <c r="J383" s="420"/>
    </row>
    <row r="384" spans="1:10" ht="28.5" customHeight="1">
      <c r="A384" s="48" t="s">
        <v>64</v>
      </c>
      <c r="B384" s="62">
        <v>2</v>
      </c>
      <c r="C384" s="62">
        <v>2</v>
      </c>
      <c r="D384" s="197">
        <f t="shared" si="26"/>
        <v>0</v>
      </c>
      <c r="E384" s="173">
        <f>C384/B384</f>
        <v>1</v>
      </c>
      <c r="F384" s="196"/>
      <c r="G384" s="196"/>
      <c r="H384" s="196"/>
      <c r="I384" s="196"/>
      <c r="J384" s="420"/>
    </row>
    <row r="385" spans="1:10" ht="12.75">
      <c r="A385" s="139" t="s">
        <v>317</v>
      </c>
      <c r="B385" s="206">
        <f>SUM(B381:B384)</f>
        <v>605.69</v>
      </c>
      <c r="C385" s="206">
        <f>SUM(C381:C384)</f>
        <v>603.69</v>
      </c>
      <c r="D385" s="145">
        <f>SUM(C385-B385)</f>
        <v>-2</v>
      </c>
      <c r="E385" s="141">
        <f>SUM(E379:E384)/6</f>
        <v>0.8288888888888888</v>
      </c>
      <c r="F385" s="142">
        <f>SUM(F376:F384)</f>
        <v>16817022.14</v>
      </c>
      <c r="G385" s="142">
        <f>SUM(G376:G384)</f>
        <v>13696545.780000001</v>
      </c>
      <c r="H385" s="141">
        <f>G385/F385</f>
        <v>0.8144453676743509</v>
      </c>
      <c r="I385" s="141">
        <f>E385/H385</f>
        <v>1.0177341805697555</v>
      </c>
      <c r="J385" s="380"/>
    </row>
    <row r="386" spans="1:10" ht="25.5">
      <c r="A386" s="106" t="s">
        <v>759</v>
      </c>
      <c r="B386" s="131"/>
      <c r="C386" s="131"/>
      <c r="D386" s="131"/>
      <c r="E386" s="33"/>
      <c r="F386" s="263">
        <f>F385/F885</f>
        <v>0.006632917918375943</v>
      </c>
      <c r="G386" s="280">
        <f>G385/G885</f>
        <v>0.005460054772288387</v>
      </c>
      <c r="H386" s="33"/>
      <c r="I386" s="33"/>
      <c r="J386" s="421"/>
    </row>
    <row r="387" spans="1:10" ht="19.5" customHeight="1">
      <c r="A387" s="537" t="s">
        <v>275</v>
      </c>
      <c r="B387" s="537"/>
      <c r="C387" s="537"/>
      <c r="D387" s="537"/>
      <c r="E387" s="537"/>
      <c r="F387" s="537"/>
      <c r="G387" s="537"/>
      <c r="H387" s="537"/>
      <c r="I387" s="537"/>
      <c r="J387" s="537"/>
    </row>
    <row r="388" spans="1:10" ht="26.25" customHeight="1">
      <c r="A388" s="554" t="s">
        <v>738</v>
      </c>
      <c r="B388" s="554"/>
      <c r="C388" s="554"/>
      <c r="D388" s="554"/>
      <c r="E388" s="554"/>
      <c r="F388" s="554"/>
      <c r="G388" s="554"/>
      <c r="H388" s="554"/>
      <c r="I388" s="554"/>
      <c r="J388" s="422"/>
    </row>
    <row r="389" spans="1:10" ht="76.5">
      <c r="A389" s="61" t="s">
        <v>448</v>
      </c>
      <c r="B389" s="35">
        <v>2</v>
      </c>
      <c r="C389" s="35">
        <v>2</v>
      </c>
      <c r="D389" s="35">
        <f>C389-B389</f>
        <v>0</v>
      </c>
      <c r="E389" s="36">
        <f>C389/B389</f>
        <v>1</v>
      </c>
      <c r="F389" s="4">
        <v>6130609.1</v>
      </c>
      <c r="G389" s="63">
        <v>5896324.4</v>
      </c>
      <c r="H389" s="173">
        <f>G389/F389</f>
        <v>0.9617844334586593</v>
      </c>
      <c r="I389" s="63"/>
      <c r="J389" s="59" t="s">
        <v>594</v>
      </c>
    </row>
    <row r="390" spans="1:10" ht="50.25" customHeight="1">
      <c r="A390" s="61" t="s">
        <v>187</v>
      </c>
      <c r="B390" s="35">
        <v>5</v>
      </c>
      <c r="C390" s="35">
        <v>5</v>
      </c>
      <c r="D390" s="35">
        <f>C390-B390</f>
        <v>0</v>
      </c>
      <c r="E390" s="36">
        <f>C390/B390</f>
        <v>1</v>
      </c>
      <c r="F390" s="354"/>
      <c r="G390" s="355"/>
      <c r="H390" s="173"/>
      <c r="I390" s="322"/>
      <c r="J390" s="323"/>
    </row>
    <row r="391" spans="1:10" ht="25.5">
      <c r="A391" s="61" t="s">
        <v>188</v>
      </c>
      <c r="B391" s="35">
        <v>3</v>
      </c>
      <c r="C391" s="35">
        <v>3</v>
      </c>
      <c r="D391" s="35">
        <f>C391-B391</f>
        <v>0</v>
      </c>
      <c r="E391" s="36">
        <f>C391/B391</f>
        <v>1</v>
      </c>
      <c r="F391" s="354"/>
      <c r="G391" s="355"/>
      <c r="H391" s="173"/>
      <c r="I391" s="322"/>
      <c r="J391" s="323"/>
    </row>
    <row r="392" spans="1:10" ht="12.75">
      <c r="A392" s="61" t="s">
        <v>189</v>
      </c>
      <c r="B392" s="35">
        <v>2</v>
      </c>
      <c r="C392" s="35">
        <v>2</v>
      </c>
      <c r="D392" s="35">
        <f>C392-B392</f>
        <v>0</v>
      </c>
      <c r="E392" s="36">
        <f>C392/B392</f>
        <v>1</v>
      </c>
      <c r="F392" s="354"/>
      <c r="G392" s="355"/>
      <c r="H392" s="173"/>
      <c r="I392" s="322"/>
      <c r="J392" s="323"/>
    </row>
    <row r="393" spans="1:10" ht="12.75">
      <c r="A393" s="61" t="s">
        <v>59</v>
      </c>
      <c r="B393" s="35">
        <f>SUM(B389:B390)</f>
        <v>7</v>
      </c>
      <c r="C393" s="35">
        <f>SUM(C389:C390)</f>
        <v>7</v>
      </c>
      <c r="D393" s="35">
        <f>C393-B393</f>
        <v>0</v>
      </c>
      <c r="E393" s="36">
        <f>C393/B393</f>
        <v>1</v>
      </c>
      <c r="F393" s="4">
        <f>SUM(F389:F392)</f>
        <v>6130609.1</v>
      </c>
      <c r="G393" s="63">
        <f>SUM(G389:G392)</f>
        <v>5896324.4</v>
      </c>
      <c r="H393" s="173">
        <f>G393/F393</f>
        <v>0.9617844334586593</v>
      </c>
      <c r="I393" s="356">
        <f>E393/H393</f>
        <v>1.0397340248104394</v>
      </c>
      <c r="J393" s="323"/>
    </row>
    <row r="394" spans="1:10" ht="30" customHeight="1">
      <c r="A394" s="547" t="s">
        <v>190</v>
      </c>
      <c r="B394" s="547"/>
      <c r="C394" s="547"/>
      <c r="D394" s="547"/>
      <c r="E394" s="547"/>
      <c r="F394" s="547"/>
      <c r="G394" s="547"/>
      <c r="H394" s="547"/>
      <c r="I394" s="547"/>
      <c r="J394" s="379"/>
    </row>
    <row r="395" spans="1:10" ht="46.5" customHeight="1">
      <c r="A395" s="61" t="s">
        <v>191</v>
      </c>
      <c r="B395" s="35">
        <v>1</v>
      </c>
      <c r="C395" s="35">
        <v>1</v>
      </c>
      <c r="D395" s="35">
        <f>C395-B395</f>
        <v>0</v>
      </c>
      <c r="E395" s="36">
        <f>C395/B395</f>
        <v>1</v>
      </c>
      <c r="F395" s="4">
        <v>521466.63</v>
      </c>
      <c r="G395" s="63">
        <v>432294.57</v>
      </c>
      <c r="H395" s="173">
        <f>G395/F395</f>
        <v>0.8289975717142246</v>
      </c>
      <c r="I395" s="202">
        <f>E395/H395</f>
        <v>1.2062761510050888</v>
      </c>
      <c r="J395" s="60" t="s">
        <v>255</v>
      </c>
    </row>
    <row r="396" spans="1:10" ht="27" customHeight="1">
      <c r="A396" s="547" t="s">
        <v>192</v>
      </c>
      <c r="B396" s="547"/>
      <c r="C396" s="547"/>
      <c r="D396" s="547"/>
      <c r="E396" s="547"/>
      <c r="F396" s="547"/>
      <c r="G396" s="547"/>
      <c r="H396" s="547"/>
      <c r="I396" s="547"/>
      <c r="J396" s="547"/>
    </row>
    <row r="397" spans="1:10" ht="63.75">
      <c r="A397" s="61" t="s">
        <v>24</v>
      </c>
      <c r="B397" s="35">
        <v>2</v>
      </c>
      <c r="C397" s="35">
        <v>2</v>
      </c>
      <c r="D397" s="35">
        <f aca="true" t="shared" si="27" ref="D397:D402">C397-B397</f>
        <v>0</v>
      </c>
      <c r="E397" s="36">
        <f aca="true" t="shared" si="28" ref="E397:E402">C397/B397</f>
        <v>1</v>
      </c>
      <c r="F397" s="4">
        <v>242430.2</v>
      </c>
      <c r="G397" s="63">
        <v>242430.2</v>
      </c>
      <c r="H397" s="173">
        <f>G397/F397</f>
        <v>1</v>
      </c>
      <c r="I397" s="200"/>
      <c r="J397" s="60"/>
    </row>
    <row r="398" spans="1:10" ht="89.25" customHeight="1">
      <c r="A398" s="61" t="s">
        <v>412</v>
      </c>
      <c r="B398" s="35"/>
      <c r="C398" s="35"/>
      <c r="D398" s="35"/>
      <c r="E398" s="36"/>
      <c r="F398" s="61"/>
      <c r="G398" s="61"/>
      <c r="H398" s="61"/>
      <c r="I398" s="61"/>
      <c r="J398" s="60"/>
    </row>
    <row r="399" spans="1:10" ht="12.75">
      <c r="A399" s="61" t="s">
        <v>193</v>
      </c>
      <c r="B399" s="35">
        <v>53</v>
      </c>
      <c r="C399" s="35">
        <v>53</v>
      </c>
      <c r="D399" s="35">
        <f t="shared" si="27"/>
        <v>0</v>
      </c>
      <c r="E399" s="36">
        <f t="shared" si="28"/>
        <v>1</v>
      </c>
      <c r="F399" s="61"/>
      <c r="G399" s="61"/>
      <c r="H399" s="61"/>
      <c r="I399" s="61"/>
      <c r="J399" s="60"/>
    </row>
    <row r="400" spans="1:10" ht="12.75">
      <c r="A400" s="61" t="s">
        <v>194</v>
      </c>
      <c r="B400" s="35">
        <v>16</v>
      </c>
      <c r="C400" s="35">
        <v>16</v>
      </c>
      <c r="D400" s="35">
        <f t="shared" si="27"/>
        <v>0</v>
      </c>
      <c r="E400" s="36">
        <f t="shared" si="28"/>
        <v>1</v>
      </c>
      <c r="F400" s="61"/>
      <c r="G400" s="61"/>
      <c r="H400" s="61"/>
      <c r="I400" s="61"/>
      <c r="J400" s="60"/>
    </row>
    <row r="401" spans="1:10" ht="12.75">
      <c r="A401" s="61" t="s">
        <v>276</v>
      </c>
      <c r="B401" s="35">
        <v>5</v>
      </c>
      <c r="C401" s="35">
        <v>5</v>
      </c>
      <c r="D401" s="35">
        <f t="shared" si="27"/>
        <v>0</v>
      </c>
      <c r="E401" s="36">
        <f t="shared" si="28"/>
        <v>1</v>
      </c>
      <c r="F401" s="322"/>
      <c r="G401" s="322"/>
      <c r="H401" s="322"/>
      <c r="I401" s="322"/>
      <c r="J401" s="323"/>
    </row>
    <row r="402" spans="1:10" ht="12.75">
      <c r="A402" s="108" t="s">
        <v>276</v>
      </c>
      <c r="B402" s="35">
        <v>5</v>
      </c>
      <c r="C402" s="35">
        <v>5</v>
      </c>
      <c r="D402" s="35">
        <f t="shared" si="27"/>
        <v>0</v>
      </c>
      <c r="E402" s="36">
        <f t="shared" si="28"/>
        <v>1</v>
      </c>
      <c r="F402" s="188"/>
      <c r="G402" s="188"/>
      <c r="H402" s="188"/>
      <c r="I402" s="188"/>
      <c r="J402" s="423"/>
    </row>
    <row r="403" spans="1:10" ht="12.75">
      <c r="A403" s="61" t="s">
        <v>60</v>
      </c>
      <c r="B403" s="35">
        <f>SUM(B397:B402)</f>
        <v>81</v>
      </c>
      <c r="C403" s="35">
        <f>SUM(C397:C402)</f>
        <v>81</v>
      </c>
      <c r="D403" s="35">
        <f>C403-B403</f>
        <v>0</v>
      </c>
      <c r="E403" s="36">
        <f>C403/B403</f>
        <v>1</v>
      </c>
      <c r="F403" s="4">
        <f>SUM(F397:F402)</f>
        <v>242430.2</v>
      </c>
      <c r="G403" s="63">
        <f>SUM(G397:G402)</f>
        <v>242430.2</v>
      </c>
      <c r="H403" s="173">
        <f>G403/F403</f>
        <v>1</v>
      </c>
      <c r="I403" s="173">
        <f>E403/H403</f>
        <v>1</v>
      </c>
      <c r="J403" s="423"/>
    </row>
    <row r="404" spans="1:10" ht="36" customHeight="1">
      <c r="A404" s="548" t="s">
        <v>277</v>
      </c>
      <c r="B404" s="548"/>
      <c r="C404" s="548"/>
      <c r="D404" s="548"/>
      <c r="E404" s="548"/>
      <c r="F404" s="548"/>
      <c r="G404" s="548"/>
      <c r="H404" s="548"/>
      <c r="I404" s="548"/>
      <c r="J404" s="548"/>
    </row>
    <row r="405" spans="1:10" ht="63.75">
      <c r="A405" s="61" t="s">
        <v>278</v>
      </c>
      <c r="B405" s="61"/>
      <c r="C405" s="61"/>
      <c r="D405" s="61"/>
      <c r="E405" s="61"/>
      <c r="F405" s="4">
        <v>178310.62</v>
      </c>
      <c r="G405" s="63">
        <v>178310.62</v>
      </c>
      <c r="H405" s="173">
        <f>G405/F405</f>
        <v>1</v>
      </c>
      <c r="I405" s="173"/>
      <c r="J405" s="60"/>
    </row>
    <row r="406" spans="1:10" ht="25.5">
      <c r="A406" s="61" t="s">
        <v>279</v>
      </c>
      <c r="B406" s="35">
        <v>50</v>
      </c>
      <c r="C406" s="35">
        <v>50</v>
      </c>
      <c r="D406" s="35">
        <f aca="true" t="shared" si="29" ref="D406:D411">C406-B406</f>
        <v>0</v>
      </c>
      <c r="E406" s="36">
        <f aca="true" t="shared" si="30" ref="E406:E411">C406/B406</f>
        <v>1</v>
      </c>
      <c r="F406" s="61"/>
      <c r="G406" s="61"/>
      <c r="H406" s="173"/>
      <c r="I406" s="173"/>
      <c r="J406" s="60"/>
    </row>
    <row r="407" spans="1:10" ht="12.75">
      <c r="A407" s="61" t="s">
        <v>280</v>
      </c>
      <c r="B407" s="35">
        <v>100</v>
      </c>
      <c r="C407" s="35">
        <v>100</v>
      </c>
      <c r="D407" s="35">
        <f t="shared" si="29"/>
        <v>0</v>
      </c>
      <c r="E407" s="36">
        <f t="shared" si="30"/>
        <v>1</v>
      </c>
      <c r="F407" s="61"/>
      <c r="G407" s="61"/>
      <c r="H407" s="173"/>
      <c r="I407" s="173"/>
      <c r="J407" s="60"/>
    </row>
    <row r="408" spans="1:10" ht="12.75">
      <c r="A408" s="61" t="s">
        <v>281</v>
      </c>
      <c r="B408" s="35">
        <v>150</v>
      </c>
      <c r="C408" s="35">
        <v>150</v>
      </c>
      <c r="D408" s="35">
        <f t="shared" si="29"/>
        <v>0</v>
      </c>
      <c r="E408" s="36">
        <f t="shared" si="30"/>
        <v>1</v>
      </c>
      <c r="F408" s="61"/>
      <c r="G408" s="61"/>
      <c r="H408" s="173"/>
      <c r="I408" s="173"/>
      <c r="J408" s="60"/>
    </row>
    <row r="409" spans="1:10" ht="12.75">
      <c r="A409" s="61" t="s">
        <v>282</v>
      </c>
      <c r="B409" s="35">
        <v>10</v>
      </c>
      <c r="C409" s="35">
        <v>10</v>
      </c>
      <c r="D409" s="35">
        <f t="shared" si="29"/>
        <v>0</v>
      </c>
      <c r="E409" s="36">
        <f t="shared" si="30"/>
        <v>1</v>
      </c>
      <c r="F409" s="61"/>
      <c r="G409" s="61"/>
      <c r="H409" s="173"/>
      <c r="I409" s="173"/>
      <c r="J409" s="60"/>
    </row>
    <row r="410" spans="1:10" ht="12.75">
      <c r="A410" s="61" t="s">
        <v>283</v>
      </c>
      <c r="B410" s="35">
        <v>50</v>
      </c>
      <c r="C410" s="35">
        <v>50</v>
      </c>
      <c r="D410" s="35">
        <f t="shared" si="29"/>
        <v>0</v>
      </c>
      <c r="E410" s="36">
        <f t="shared" si="30"/>
        <v>1</v>
      </c>
      <c r="F410" s="61"/>
      <c r="G410" s="61"/>
      <c r="H410" s="173"/>
      <c r="I410" s="173"/>
      <c r="J410" s="60"/>
    </row>
    <row r="411" spans="1:10" ht="12.75">
      <c r="A411" s="61" t="s">
        <v>284</v>
      </c>
      <c r="B411" s="35">
        <v>5</v>
      </c>
      <c r="C411" s="35">
        <v>5</v>
      </c>
      <c r="D411" s="35">
        <f t="shared" si="29"/>
        <v>0</v>
      </c>
      <c r="E411" s="36">
        <f t="shared" si="30"/>
        <v>1</v>
      </c>
      <c r="F411" s="61"/>
      <c r="G411" s="61"/>
      <c r="H411" s="173"/>
      <c r="I411" s="173"/>
      <c r="J411" s="60"/>
    </row>
    <row r="412" spans="1:10" ht="12.75">
      <c r="A412" s="61" t="s">
        <v>61</v>
      </c>
      <c r="B412" s="35">
        <f>SUM(B406:B411)</f>
        <v>365</v>
      </c>
      <c r="C412" s="35">
        <f>SUM(C406:C411)</f>
        <v>365</v>
      </c>
      <c r="D412" s="35">
        <f>C412-B412</f>
        <v>0</v>
      </c>
      <c r="E412" s="36">
        <f>C412/B412</f>
        <v>1</v>
      </c>
      <c r="F412" s="63">
        <f>SUM(F405:F411)</f>
        <v>178310.62</v>
      </c>
      <c r="G412" s="63">
        <f>SUM(G405:G411)</f>
        <v>178310.62</v>
      </c>
      <c r="H412" s="173">
        <f>G412/F412</f>
        <v>1</v>
      </c>
      <c r="I412" s="173">
        <f>E412/H412</f>
        <v>1</v>
      </c>
      <c r="J412" s="60"/>
    </row>
    <row r="413" spans="1:10" ht="14.25" customHeight="1">
      <c r="A413" s="548" t="s">
        <v>285</v>
      </c>
      <c r="B413" s="548"/>
      <c r="C413" s="548"/>
      <c r="D413" s="548"/>
      <c r="E413" s="548"/>
      <c r="F413" s="548"/>
      <c r="G413" s="548"/>
      <c r="H413" s="548"/>
      <c r="I413" s="548"/>
      <c r="J413" s="548"/>
    </row>
    <row r="414" spans="1:10" s="28" customFormat="1" ht="39" customHeight="1">
      <c r="A414" s="61" t="s">
        <v>641</v>
      </c>
      <c r="B414" s="61"/>
      <c r="C414" s="61"/>
      <c r="D414" s="61"/>
      <c r="E414" s="61"/>
      <c r="F414" s="4">
        <v>521466.63</v>
      </c>
      <c r="G414" s="63">
        <v>521466.63</v>
      </c>
      <c r="H414" s="173">
        <f>G414/F414</f>
        <v>1</v>
      </c>
      <c r="I414" s="173"/>
      <c r="J414" s="60"/>
    </row>
    <row r="415" spans="1:10" s="28" customFormat="1" ht="13.5" customHeight="1">
      <c r="A415" s="61" t="s">
        <v>642</v>
      </c>
      <c r="B415" s="35">
        <v>520</v>
      </c>
      <c r="C415" s="35">
        <v>520</v>
      </c>
      <c r="D415" s="35">
        <f aca="true" t="shared" si="31" ref="D415:D422">C415-B415</f>
        <v>0</v>
      </c>
      <c r="E415" s="36">
        <f aca="true" t="shared" si="32" ref="E415:E422">C415/B415</f>
        <v>1</v>
      </c>
      <c r="F415" s="61"/>
      <c r="G415" s="61"/>
      <c r="H415" s="173"/>
      <c r="I415" s="173"/>
      <c r="J415" s="60"/>
    </row>
    <row r="416" spans="1:10" s="28" customFormat="1" ht="14.25" customHeight="1">
      <c r="A416" s="61" t="s">
        <v>643</v>
      </c>
      <c r="B416" s="35">
        <v>2</v>
      </c>
      <c r="C416" s="35">
        <v>2</v>
      </c>
      <c r="D416" s="35">
        <f t="shared" si="31"/>
        <v>0</v>
      </c>
      <c r="E416" s="36">
        <f t="shared" si="32"/>
        <v>1</v>
      </c>
      <c r="F416" s="61"/>
      <c r="G416" s="61"/>
      <c r="H416" s="173"/>
      <c r="I416" s="173"/>
      <c r="J416" s="60"/>
    </row>
    <row r="417" spans="1:10" s="28" customFormat="1" ht="14.25" customHeight="1">
      <c r="A417" s="61" t="s">
        <v>644</v>
      </c>
      <c r="B417" s="35">
        <v>5</v>
      </c>
      <c r="C417" s="35">
        <v>5</v>
      </c>
      <c r="D417" s="35">
        <f t="shared" si="31"/>
        <v>0</v>
      </c>
      <c r="E417" s="36">
        <f t="shared" si="32"/>
        <v>1</v>
      </c>
      <c r="F417" s="61"/>
      <c r="G417" s="61"/>
      <c r="H417" s="173"/>
      <c r="I417" s="173"/>
      <c r="J417" s="60"/>
    </row>
    <row r="418" spans="1:10" s="28" customFormat="1" ht="14.25" customHeight="1">
      <c r="A418" s="61" t="s">
        <v>645</v>
      </c>
      <c r="B418" s="35"/>
      <c r="C418" s="35"/>
      <c r="D418" s="35"/>
      <c r="E418" s="36"/>
      <c r="F418" s="61"/>
      <c r="G418" s="61"/>
      <c r="H418" s="173"/>
      <c r="I418" s="173"/>
      <c r="J418" s="60"/>
    </row>
    <row r="419" spans="1:10" s="28" customFormat="1" ht="14.25" customHeight="1">
      <c r="A419" s="61" t="s">
        <v>646</v>
      </c>
      <c r="B419" s="35">
        <v>1</v>
      </c>
      <c r="C419" s="35">
        <v>1</v>
      </c>
      <c r="D419" s="35">
        <f t="shared" si="31"/>
        <v>0</v>
      </c>
      <c r="E419" s="36">
        <f t="shared" si="32"/>
        <v>1</v>
      </c>
      <c r="F419" s="61"/>
      <c r="G419" s="61"/>
      <c r="H419" s="173"/>
      <c r="I419" s="173"/>
      <c r="J419" s="60"/>
    </row>
    <row r="420" spans="1:10" s="28" customFormat="1" ht="14.25" customHeight="1">
      <c r="A420" s="61" t="s">
        <v>647</v>
      </c>
      <c r="B420" s="35">
        <v>1</v>
      </c>
      <c r="C420" s="35">
        <v>1</v>
      </c>
      <c r="D420" s="35">
        <f t="shared" si="31"/>
        <v>0</v>
      </c>
      <c r="E420" s="36">
        <f t="shared" si="32"/>
        <v>1</v>
      </c>
      <c r="F420" s="61"/>
      <c r="G420" s="61"/>
      <c r="H420" s="173"/>
      <c r="I420" s="173"/>
      <c r="J420" s="60"/>
    </row>
    <row r="421" spans="1:10" s="28" customFormat="1" ht="14.25" customHeight="1">
      <c r="A421" s="61" t="s">
        <v>648</v>
      </c>
      <c r="B421" s="35">
        <v>3</v>
      </c>
      <c r="C421" s="35">
        <v>3</v>
      </c>
      <c r="D421" s="35">
        <f t="shared" si="31"/>
        <v>0</v>
      </c>
      <c r="E421" s="36">
        <f t="shared" si="32"/>
        <v>1</v>
      </c>
      <c r="F421" s="61"/>
      <c r="G421" s="61"/>
      <c r="H421" s="173"/>
      <c r="I421" s="173"/>
      <c r="J421" s="60"/>
    </row>
    <row r="422" spans="1:10" s="28" customFormat="1" ht="14.25" customHeight="1">
      <c r="A422" s="61" t="s">
        <v>649</v>
      </c>
      <c r="B422" s="35">
        <v>1</v>
      </c>
      <c r="C422" s="35">
        <v>1</v>
      </c>
      <c r="D422" s="35">
        <f t="shared" si="31"/>
        <v>0</v>
      </c>
      <c r="E422" s="36">
        <f t="shared" si="32"/>
        <v>1</v>
      </c>
      <c r="F422" s="61"/>
      <c r="G422" s="61"/>
      <c r="H422" s="173"/>
      <c r="I422" s="173"/>
      <c r="J422" s="60"/>
    </row>
    <row r="423" spans="1:10" s="28" customFormat="1" ht="14.25" customHeight="1">
      <c r="A423" s="61" t="s">
        <v>62</v>
      </c>
      <c r="B423" s="35">
        <f>SUM(B414:B422)</f>
        <v>533</v>
      </c>
      <c r="C423" s="35">
        <f>SUM(C414:C422)</f>
        <v>533</v>
      </c>
      <c r="D423" s="35">
        <f>C423-B423</f>
        <v>0</v>
      </c>
      <c r="E423" s="36">
        <f>C423/B423</f>
        <v>1</v>
      </c>
      <c r="F423" s="63">
        <f>F414</f>
        <v>521466.63</v>
      </c>
      <c r="G423" s="63">
        <f>G414</f>
        <v>521466.63</v>
      </c>
      <c r="H423" s="173">
        <f>G423/F423</f>
        <v>1</v>
      </c>
      <c r="I423" s="173">
        <f>E423/H423</f>
        <v>1</v>
      </c>
      <c r="J423" s="60"/>
    </row>
    <row r="424" spans="1:10" s="28" customFormat="1" ht="14.25" customHeight="1">
      <c r="A424" s="548" t="s">
        <v>595</v>
      </c>
      <c r="B424" s="548"/>
      <c r="C424" s="548"/>
      <c r="D424" s="548"/>
      <c r="E424" s="548"/>
      <c r="F424" s="548"/>
      <c r="G424" s="548"/>
      <c r="H424" s="548"/>
      <c r="I424" s="548"/>
      <c r="J424" s="548"/>
    </row>
    <row r="425" spans="1:10" s="28" customFormat="1" ht="75.75" customHeight="1">
      <c r="A425" s="61" t="s">
        <v>596</v>
      </c>
      <c r="B425" s="35">
        <v>1</v>
      </c>
      <c r="C425" s="35">
        <v>1</v>
      </c>
      <c r="D425" s="35">
        <f>C425-B425</f>
        <v>0</v>
      </c>
      <c r="E425" s="36">
        <f>C425/B425</f>
        <v>1</v>
      </c>
      <c r="F425" s="4">
        <v>1072681.29</v>
      </c>
      <c r="G425" s="63">
        <v>1072681.29</v>
      </c>
      <c r="H425" s="173">
        <f>G425/F425</f>
        <v>1</v>
      </c>
      <c r="I425" s="173">
        <f>E425/H425</f>
        <v>1</v>
      </c>
      <c r="J425" s="60"/>
    </row>
    <row r="426" spans="1:10" s="28" customFormat="1" ht="14.25" customHeight="1">
      <c r="A426" s="541" t="s">
        <v>597</v>
      </c>
      <c r="B426" s="541"/>
      <c r="C426" s="541"/>
      <c r="D426" s="541"/>
      <c r="E426" s="541"/>
      <c r="F426" s="541"/>
      <c r="G426" s="541"/>
      <c r="H426" s="541"/>
      <c r="I426" s="541"/>
      <c r="J426" s="541"/>
    </row>
    <row r="427" spans="1:10" s="28" customFormat="1" ht="27" customHeight="1">
      <c r="A427" s="61" t="s">
        <v>219</v>
      </c>
      <c r="B427" s="61"/>
      <c r="C427" s="61"/>
      <c r="D427" s="61"/>
      <c r="E427" s="61"/>
      <c r="F427" s="354"/>
      <c r="G427" s="61"/>
      <c r="H427" s="61"/>
      <c r="I427" s="61"/>
      <c r="J427" s="60"/>
    </row>
    <row r="428" spans="1:10" s="28" customFormat="1" ht="38.25">
      <c r="A428" s="61" t="s">
        <v>43</v>
      </c>
      <c r="B428" s="35">
        <v>1</v>
      </c>
      <c r="C428" s="35">
        <v>1</v>
      </c>
      <c r="D428" s="35">
        <f>C428-B428</f>
        <v>0</v>
      </c>
      <c r="E428" s="36">
        <f>C428/B428</f>
        <v>1</v>
      </c>
      <c r="F428" s="4">
        <v>2098901.73</v>
      </c>
      <c r="G428" s="63">
        <v>2098901.73</v>
      </c>
      <c r="H428" s="173">
        <f>G428/F428</f>
        <v>1</v>
      </c>
      <c r="I428" s="173">
        <f>E428/H428</f>
        <v>1</v>
      </c>
      <c r="J428" s="60"/>
    </row>
    <row r="429" spans="1:10" s="28" customFormat="1" ht="12.75" customHeight="1">
      <c r="A429" s="541" t="s">
        <v>42</v>
      </c>
      <c r="B429" s="541"/>
      <c r="C429" s="541"/>
      <c r="D429" s="541"/>
      <c r="E429" s="541"/>
      <c r="F429" s="541"/>
      <c r="G429" s="541"/>
      <c r="H429" s="541"/>
      <c r="I429" s="541"/>
      <c r="J429" s="541"/>
    </row>
    <row r="430" spans="1:10" s="28" customFormat="1" ht="14.25" customHeight="1" hidden="1">
      <c r="A430" s="541"/>
      <c r="B430" s="541"/>
      <c r="C430" s="541"/>
      <c r="D430" s="541"/>
      <c r="E430" s="541"/>
      <c r="F430" s="541"/>
      <c r="G430" s="541"/>
      <c r="H430" s="541"/>
      <c r="I430" s="541"/>
      <c r="J430" s="541"/>
    </row>
    <row r="431" spans="1:10" s="28" customFormat="1" ht="38.25">
      <c r="A431" s="61" t="s">
        <v>598</v>
      </c>
      <c r="B431" s="61"/>
      <c r="C431" s="61"/>
      <c r="D431" s="61"/>
      <c r="E431" s="61"/>
      <c r="F431" s="4">
        <v>13169038.51</v>
      </c>
      <c r="G431" s="63">
        <v>13169038.51</v>
      </c>
      <c r="H431" s="173">
        <f>G431/F431</f>
        <v>1</v>
      </c>
      <c r="I431" s="63"/>
      <c r="J431" s="60"/>
    </row>
    <row r="432" spans="1:10" s="28" customFormat="1" ht="25.5">
      <c r="A432" s="61" t="s">
        <v>599</v>
      </c>
      <c r="B432" s="35">
        <v>3</v>
      </c>
      <c r="C432" s="35">
        <v>3</v>
      </c>
      <c r="D432" s="35">
        <f>C432-B432</f>
        <v>0</v>
      </c>
      <c r="E432" s="36">
        <f>C432/B432</f>
        <v>1</v>
      </c>
      <c r="F432" s="61"/>
      <c r="G432" s="61"/>
      <c r="H432" s="61"/>
      <c r="I432" s="61"/>
      <c r="J432" s="60"/>
    </row>
    <row r="433" spans="1:10" s="28" customFormat="1" ht="63.75">
      <c r="A433" s="61" t="s">
        <v>477</v>
      </c>
      <c r="B433" s="35">
        <v>12</v>
      </c>
      <c r="C433" s="35">
        <v>12</v>
      </c>
      <c r="D433" s="35">
        <f>C433-B433</f>
        <v>0</v>
      </c>
      <c r="E433" s="36">
        <f>C433/B433</f>
        <v>1</v>
      </c>
      <c r="F433" s="61"/>
      <c r="G433" s="61"/>
      <c r="H433" s="61"/>
      <c r="I433" s="61"/>
      <c r="J433" s="60"/>
    </row>
    <row r="434" spans="1:10" s="28" customFormat="1" ht="25.5">
      <c r="A434" s="61" t="s">
        <v>449</v>
      </c>
      <c r="B434" s="35">
        <v>1</v>
      </c>
      <c r="C434" s="35">
        <v>1</v>
      </c>
      <c r="D434" s="35">
        <f>C434-B434</f>
        <v>0</v>
      </c>
      <c r="E434" s="36">
        <f>C434/B434</f>
        <v>1</v>
      </c>
      <c r="F434" s="61"/>
      <c r="G434" s="61"/>
      <c r="H434" s="61"/>
      <c r="I434" s="61"/>
      <c r="J434" s="60"/>
    </row>
    <row r="435" spans="1:10" s="28" customFormat="1" ht="38.25">
      <c r="A435" s="61" t="s">
        <v>450</v>
      </c>
      <c r="B435" s="35">
        <v>1</v>
      </c>
      <c r="C435" s="35">
        <v>1</v>
      </c>
      <c r="D435" s="35">
        <f>C435-B435</f>
        <v>0</v>
      </c>
      <c r="E435" s="36">
        <f>C435/B435</f>
        <v>1</v>
      </c>
      <c r="F435" s="61"/>
      <c r="G435" s="61"/>
      <c r="H435" s="61"/>
      <c r="I435" s="61"/>
      <c r="J435" s="60"/>
    </row>
    <row r="436" spans="1:10" s="28" customFormat="1" ht="12.75">
      <c r="A436" s="61" t="s">
        <v>785</v>
      </c>
      <c r="B436" s="35">
        <f>SUM(B432:B435)</f>
        <v>17</v>
      </c>
      <c r="C436" s="35">
        <f>SUM(C432:C435)</f>
        <v>17</v>
      </c>
      <c r="D436" s="35">
        <f>C436-B436</f>
        <v>0</v>
      </c>
      <c r="E436" s="36">
        <f>C436/B436</f>
        <v>1</v>
      </c>
      <c r="F436" s="4">
        <f>F431</f>
        <v>13169038.51</v>
      </c>
      <c r="G436" s="63">
        <f>G431</f>
        <v>13169038.51</v>
      </c>
      <c r="H436" s="173">
        <f>G436/F436</f>
        <v>1</v>
      </c>
      <c r="I436" s="173">
        <f>E436/H436</f>
        <v>1</v>
      </c>
      <c r="J436" s="60"/>
    </row>
    <row r="437" spans="1:10" s="28" customFormat="1" ht="14.25" customHeight="1">
      <c r="A437" s="541" t="s">
        <v>44</v>
      </c>
      <c r="B437" s="541"/>
      <c r="C437" s="541"/>
      <c r="D437" s="541"/>
      <c r="E437" s="541"/>
      <c r="F437" s="541"/>
      <c r="G437" s="541"/>
      <c r="H437" s="541"/>
      <c r="I437" s="541"/>
      <c r="J437" s="541"/>
    </row>
    <row r="438" spans="1:10" ht="76.5">
      <c r="A438" s="61" t="s">
        <v>45</v>
      </c>
      <c r="B438" s="35">
        <v>1</v>
      </c>
      <c r="C438" s="35">
        <v>1</v>
      </c>
      <c r="D438" s="35">
        <f>C438-B438</f>
        <v>0</v>
      </c>
      <c r="E438" s="36">
        <f>C438/B438</f>
        <v>1</v>
      </c>
      <c r="F438" s="4">
        <v>521622.18</v>
      </c>
      <c r="G438" s="63">
        <v>521622.18</v>
      </c>
      <c r="H438" s="173">
        <f>G438/F438</f>
        <v>1</v>
      </c>
      <c r="I438" s="173"/>
      <c r="J438" s="60"/>
    </row>
    <row r="439" spans="1:10" ht="38.25">
      <c r="A439" s="61" t="s">
        <v>451</v>
      </c>
      <c r="B439" s="35"/>
      <c r="C439" s="35"/>
      <c r="D439" s="35"/>
      <c r="E439" s="36"/>
      <c r="F439" s="61"/>
      <c r="G439" s="61"/>
      <c r="H439" s="173"/>
      <c r="I439" s="173"/>
      <c r="J439" s="60"/>
    </row>
    <row r="440" spans="1:10" ht="38.25" customHeight="1">
      <c r="A440" s="61" t="s">
        <v>21</v>
      </c>
      <c r="B440" s="35">
        <v>1</v>
      </c>
      <c r="C440" s="35">
        <v>1</v>
      </c>
      <c r="D440" s="35">
        <f>C440-B440</f>
        <v>0</v>
      </c>
      <c r="E440" s="36">
        <f>C440/B440</f>
        <v>1</v>
      </c>
      <c r="F440" s="61"/>
      <c r="G440" s="61"/>
      <c r="H440" s="173"/>
      <c r="I440" s="173"/>
      <c r="J440" s="60"/>
    </row>
    <row r="441" spans="1:10" ht="14.25" customHeight="1">
      <c r="A441" s="61" t="s">
        <v>22</v>
      </c>
      <c r="B441" s="35">
        <v>1</v>
      </c>
      <c r="C441" s="35">
        <v>1</v>
      </c>
      <c r="D441" s="35">
        <f>C441-B441</f>
        <v>0</v>
      </c>
      <c r="E441" s="36">
        <f>C441/B441</f>
        <v>1</v>
      </c>
      <c r="F441" s="61"/>
      <c r="G441" s="61"/>
      <c r="H441" s="173"/>
      <c r="I441" s="173"/>
      <c r="J441" s="60"/>
    </row>
    <row r="442" spans="1:10" ht="12.75">
      <c r="A442" s="108" t="s">
        <v>786</v>
      </c>
      <c r="B442" s="35">
        <f>SUM(B438:B441)</f>
        <v>3</v>
      </c>
      <c r="C442" s="35">
        <f>SUM(C438:C441)</f>
        <v>3</v>
      </c>
      <c r="D442" s="35">
        <f>C442-B442</f>
        <v>0</v>
      </c>
      <c r="E442" s="36">
        <f>C442/B442</f>
        <v>1</v>
      </c>
      <c r="F442" s="35">
        <f>F438</f>
        <v>521622.18</v>
      </c>
      <c r="G442" s="35">
        <f>G438</f>
        <v>521622.18</v>
      </c>
      <c r="H442" s="173">
        <f>G442/F442</f>
        <v>1</v>
      </c>
      <c r="I442" s="173">
        <f>E442/H442</f>
        <v>1</v>
      </c>
      <c r="J442" s="274"/>
    </row>
    <row r="443" spans="1:10" ht="12.75" customHeight="1">
      <c r="A443" s="541" t="s">
        <v>23</v>
      </c>
      <c r="B443" s="541"/>
      <c r="C443" s="541"/>
      <c r="D443" s="541"/>
      <c r="E443" s="541"/>
      <c r="F443" s="541"/>
      <c r="G443" s="541"/>
      <c r="H443" s="541"/>
      <c r="I443" s="541"/>
      <c r="J443" s="541"/>
    </row>
    <row r="444" spans="1:10" ht="25.5">
      <c r="A444" s="61" t="s">
        <v>413</v>
      </c>
      <c r="B444" s="35">
        <v>1</v>
      </c>
      <c r="C444" s="35">
        <v>1</v>
      </c>
      <c r="D444" s="35">
        <f>C444-B444</f>
        <v>0</v>
      </c>
      <c r="E444" s="36">
        <f>C444/B444</f>
        <v>1</v>
      </c>
      <c r="F444" s="63">
        <v>2579116.17</v>
      </c>
      <c r="G444" s="63">
        <v>2579116.17</v>
      </c>
      <c r="H444" s="173">
        <f>G444/F444</f>
        <v>1</v>
      </c>
      <c r="I444" s="173">
        <f>E444/H444</f>
        <v>1</v>
      </c>
      <c r="J444" s="60"/>
    </row>
    <row r="445" spans="1:10" ht="12.75">
      <c r="A445" s="357" t="s">
        <v>318</v>
      </c>
      <c r="B445" s="142">
        <f>B393+B395+B403+B412+B423+B425+B428+B436+B442+B444</f>
        <v>1010</v>
      </c>
      <c r="C445" s="142">
        <f>C393+C395+C403+C412+C423+C425+C428+C436+C442+C444</f>
        <v>1010</v>
      </c>
      <c r="D445" s="142">
        <f>C445-B445</f>
        <v>0</v>
      </c>
      <c r="E445" s="206">
        <f>C445/B445</f>
        <v>1</v>
      </c>
      <c r="F445" s="142">
        <f>F393+F395+F403+F412+F423+F425+F428+F436+F442+F444</f>
        <v>27035643.060000002</v>
      </c>
      <c r="G445" s="142">
        <f>G393+G395+G403+G412+G423+G425+G428+G436+G442+G444</f>
        <v>26712186.300000004</v>
      </c>
      <c r="H445" s="141">
        <f>G445/F445</f>
        <v>0.9880359139495165</v>
      </c>
      <c r="I445" s="141">
        <f>(I393+I395+I403+I412+I423+I425+I428+I436+I442+I444)/10</f>
        <v>1.0246010175815528</v>
      </c>
      <c r="J445" s="154"/>
    </row>
    <row r="446" spans="1:10" ht="25.5">
      <c r="A446" s="106" t="s">
        <v>759</v>
      </c>
      <c r="B446" s="108"/>
      <c r="C446" s="108"/>
      <c r="D446" s="108"/>
      <c r="E446" s="108"/>
      <c r="F446" s="35">
        <f>F445/F885</f>
        <v>0.010663314812493326</v>
      </c>
      <c r="G446" s="35">
        <f>G445/G885</f>
        <v>0.010648670301861427</v>
      </c>
      <c r="H446" s="108"/>
      <c r="I446" s="108"/>
      <c r="J446" s="274"/>
    </row>
    <row r="447" spans="1:10" ht="23.25" customHeight="1">
      <c r="A447" s="540" t="s">
        <v>604</v>
      </c>
      <c r="B447" s="540"/>
      <c r="C447" s="540"/>
      <c r="D447" s="540"/>
      <c r="E447" s="540"/>
      <c r="F447" s="540"/>
      <c r="G447" s="540"/>
      <c r="H447" s="540"/>
      <c r="I447" s="540"/>
      <c r="J447" s="540"/>
    </row>
    <row r="448" spans="1:10" ht="12.75" customHeight="1">
      <c r="A448" s="552" t="s">
        <v>640</v>
      </c>
      <c r="B448" s="552"/>
      <c r="C448" s="552"/>
      <c r="D448" s="552"/>
      <c r="E448" s="552"/>
      <c r="F448" s="552"/>
      <c r="G448" s="552"/>
      <c r="H448" s="552"/>
      <c r="I448" s="552"/>
      <c r="J448" s="552"/>
    </row>
    <row r="449" spans="1:10" ht="40.5" customHeight="1">
      <c r="A449" s="55" t="s">
        <v>414</v>
      </c>
      <c r="B449" s="138">
        <v>3518086</v>
      </c>
      <c r="C449" s="35">
        <v>3518086</v>
      </c>
      <c r="D449" s="35">
        <f aca="true" t="shared" si="33" ref="D449:D454">C449-B449</f>
        <v>0</v>
      </c>
      <c r="E449" s="36">
        <f aca="true" t="shared" si="34" ref="E449:E454">C449/B449</f>
        <v>1</v>
      </c>
      <c r="F449" s="138"/>
      <c r="G449" s="138"/>
      <c r="H449" s="138"/>
      <c r="I449" s="138"/>
      <c r="J449" s="424"/>
    </row>
    <row r="450" spans="1:10" ht="35.25" customHeight="1">
      <c r="A450" s="55" t="s">
        <v>415</v>
      </c>
      <c r="B450" s="35">
        <v>100</v>
      </c>
      <c r="C450" s="35">
        <v>100</v>
      </c>
      <c r="D450" s="35">
        <f t="shared" si="33"/>
        <v>0</v>
      </c>
      <c r="E450" s="36">
        <f t="shared" si="34"/>
        <v>1</v>
      </c>
      <c r="F450" s="138"/>
      <c r="G450" s="138"/>
      <c r="H450" s="138"/>
      <c r="I450" s="138"/>
      <c r="J450" s="424"/>
    </row>
    <row r="451" spans="1:10" ht="48.75" customHeight="1">
      <c r="A451" s="55" t="s">
        <v>416</v>
      </c>
      <c r="B451" s="138">
        <v>40164068</v>
      </c>
      <c r="C451" s="138">
        <v>40164068</v>
      </c>
      <c r="D451" s="35">
        <f t="shared" si="33"/>
        <v>0</v>
      </c>
      <c r="E451" s="36">
        <f t="shared" si="34"/>
        <v>1</v>
      </c>
      <c r="F451" s="138"/>
      <c r="G451" s="138"/>
      <c r="H451" s="138"/>
      <c r="I451" s="138"/>
      <c r="J451" s="424"/>
    </row>
    <row r="452" spans="1:10" ht="36" customHeight="1">
      <c r="A452" s="55" t="s">
        <v>582</v>
      </c>
      <c r="B452" s="35">
        <v>100</v>
      </c>
      <c r="C452" s="35">
        <v>100</v>
      </c>
      <c r="D452" s="35">
        <f t="shared" si="33"/>
        <v>0</v>
      </c>
      <c r="E452" s="36">
        <f t="shared" si="34"/>
        <v>1</v>
      </c>
      <c r="F452" s="138"/>
      <c r="G452" s="138"/>
      <c r="H452" s="138"/>
      <c r="I452" s="138"/>
      <c r="J452" s="424"/>
    </row>
    <row r="453" spans="1:10" ht="47.25" customHeight="1">
      <c r="A453" s="55" t="s">
        <v>583</v>
      </c>
      <c r="B453" s="138">
        <v>1483</v>
      </c>
      <c r="C453" s="138">
        <v>1483</v>
      </c>
      <c r="D453" s="35">
        <f t="shared" si="33"/>
        <v>0</v>
      </c>
      <c r="E453" s="36">
        <f t="shared" si="34"/>
        <v>1</v>
      </c>
      <c r="F453" s="138"/>
      <c r="G453" s="138"/>
      <c r="H453" s="138"/>
      <c r="I453" s="138"/>
      <c r="J453" s="424"/>
    </row>
    <row r="454" spans="1:10" ht="54.75" customHeight="1">
      <c r="A454" s="55" t="s">
        <v>584</v>
      </c>
      <c r="B454" s="138">
        <v>214</v>
      </c>
      <c r="C454" s="138">
        <v>214</v>
      </c>
      <c r="D454" s="35">
        <f t="shared" si="33"/>
        <v>0</v>
      </c>
      <c r="E454" s="36">
        <f t="shared" si="34"/>
        <v>1</v>
      </c>
      <c r="F454" s="138"/>
      <c r="G454" s="138"/>
      <c r="H454" s="138"/>
      <c r="I454" s="138"/>
      <c r="J454" s="424"/>
    </row>
    <row r="455" spans="1:10" ht="38.25" customHeight="1">
      <c r="A455" s="55" t="s">
        <v>605</v>
      </c>
      <c r="B455" s="65" t="s">
        <v>3</v>
      </c>
      <c r="C455" s="65" t="s">
        <v>3</v>
      </c>
      <c r="D455" s="65" t="s">
        <v>3</v>
      </c>
      <c r="E455" s="65"/>
      <c r="F455" s="65">
        <v>111576.17</v>
      </c>
      <c r="G455" s="65">
        <v>110154.82</v>
      </c>
      <c r="H455" s="7">
        <f>G455/F455</f>
        <v>0.9872611687603187</v>
      </c>
      <c r="I455" s="69"/>
      <c r="J455" s="425" t="s">
        <v>606</v>
      </c>
    </row>
    <row r="456" spans="1:10" ht="12.75" customHeight="1">
      <c r="A456" s="496" t="s">
        <v>704</v>
      </c>
      <c r="B456" s="237">
        <f>SUM(B449:B455)</f>
        <v>43684051</v>
      </c>
      <c r="C456" s="237">
        <f>SUM(C449:C455)</f>
        <v>43684051</v>
      </c>
      <c r="D456" s="138">
        <f>C456-B456</f>
        <v>0</v>
      </c>
      <c r="E456" s="36">
        <f>(E449+E450+E451+E452+E453+E454)/6</f>
        <v>1</v>
      </c>
      <c r="F456" s="35">
        <f>SUM(F455:F455)</f>
        <v>111576.17</v>
      </c>
      <c r="G456" s="35">
        <f>SUM(G455:G455)</f>
        <v>110154.82</v>
      </c>
      <c r="H456" s="36">
        <f>G456/F456</f>
        <v>0.9872611687603187</v>
      </c>
      <c r="I456" s="36">
        <f>E456/H456</f>
        <v>1.0129032029647</v>
      </c>
      <c r="J456" s="189"/>
    </row>
    <row r="457" spans="1:10" ht="12.75" customHeight="1">
      <c r="A457" s="554" t="s">
        <v>679</v>
      </c>
      <c r="B457" s="554"/>
      <c r="C457" s="554"/>
      <c r="D457" s="554"/>
      <c r="E457" s="554"/>
      <c r="F457" s="554"/>
      <c r="G457" s="554"/>
      <c r="H457" s="554"/>
      <c r="I457" s="554"/>
      <c r="J457" s="554"/>
    </row>
    <row r="458" spans="1:10" ht="27" customHeight="1">
      <c r="A458" s="13" t="s">
        <v>39</v>
      </c>
      <c r="B458" s="68">
        <v>20899</v>
      </c>
      <c r="C458" s="68">
        <v>20899</v>
      </c>
      <c r="D458" s="68">
        <f>C458-B458</f>
        <v>0</v>
      </c>
      <c r="E458" s="524">
        <f>C458/B458</f>
        <v>1</v>
      </c>
      <c r="F458" s="281"/>
      <c r="G458" s="281"/>
      <c r="H458" s="281"/>
      <c r="I458" s="281"/>
      <c r="J458" s="426"/>
    </row>
    <row r="459" spans="1:10" ht="39" customHeight="1">
      <c r="A459" s="13" t="s">
        <v>40</v>
      </c>
      <c r="B459" s="68">
        <v>8578</v>
      </c>
      <c r="C459" s="68">
        <v>8578</v>
      </c>
      <c r="D459" s="68">
        <f aca="true" t="shared" si="35" ref="D459:D465">C459-B459</f>
        <v>0</v>
      </c>
      <c r="E459" s="524">
        <f aca="true" t="shared" si="36" ref="E459:E465">C459/B459</f>
        <v>1</v>
      </c>
      <c r="F459" s="281"/>
      <c r="G459" s="281"/>
      <c r="H459" s="281"/>
      <c r="I459" s="281"/>
      <c r="J459" s="426"/>
    </row>
    <row r="460" spans="1:10" ht="63.75">
      <c r="A460" s="13" t="s">
        <v>41</v>
      </c>
      <c r="B460" s="68">
        <v>11</v>
      </c>
      <c r="C460" s="68">
        <v>11</v>
      </c>
      <c r="D460" s="68">
        <f t="shared" si="35"/>
        <v>0</v>
      </c>
      <c r="E460" s="524">
        <f t="shared" si="36"/>
        <v>1</v>
      </c>
      <c r="F460" s="281"/>
      <c r="G460" s="281"/>
      <c r="H460" s="281"/>
      <c r="I460" s="281"/>
      <c r="J460" s="426"/>
    </row>
    <row r="461" spans="1:10" ht="38.25">
      <c r="A461" s="13" t="s">
        <v>417</v>
      </c>
      <c r="B461" s="68">
        <v>34</v>
      </c>
      <c r="C461" s="68">
        <v>34</v>
      </c>
      <c r="D461" s="68">
        <f t="shared" si="35"/>
        <v>0</v>
      </c>
      <c r="E461" s="524">
        <f t="shared" si="36"/>
        <v>1</v>
      </c>
      <c r="F461" s="281"/>
      <c r="G461" s="281"/>
      <c r="H461" s="281"/>
      <c r="I461" s="281"/>
      <c r="J461" s="426"/>
    </row>
    <row r="462" spans="1:10" ht="51">
      <c r="A462" s="164" t="s">
        <v>158</v>
      </c>
      <c r="B462" s="65">
        <v>89</v>
      </c>
      <c r="C462" s="65">
        <v>89</v>
      </c>
      <c r="D462" s="65">
        <f t="shared" si="35"/>
        <v>0</v>
      </c>
      <c r="E462" s="524">
        <f t="shared" si="36"/>
        <v>1</v>
      </c>
      <c r="F462" s="281"/>
      <c r="G462" s="281"/>
      <c r="H462" s="281"/>
      <c r="I462" s="281"/>
      <c r="J462" s="426"/>
    </row>
    <row r="463" spans="1:10" ht="76.5" customHeight="1">
      <c r="A463" s="13" t="s">
        <v>159</v>
      </c>
      <c r="B463" s="65">
        <v>90</v>
      </c>
      <c r="C463" s="65">
        <v>90</v>
      </c>
      <c r="D463" s="65">
        <f t="shared" si="35"/>
        <v>0</v>
      </c>
      <c r="E463" s="524">
        <f t="shared" si="36"/>
        <v>1</v>
      </c>
      <c r="F463" s="281"/>
      <c r="G463" s="281"/>
      <c r="H463" s="281"/>
      <c r="I463" s="281"/>
      <c r="J463" s="426"/>
    </row>
    <row r="464" spans="1:10" ht="102">
      <c r="A464" s="13" t="s">
        <v>160</v>
      </c>
      <c r="B464" s="65">
        <v>2.03</v>
      </c>
      <c r="C464" s="65">
        <v>2.03</v>
      </c>
      <c r="D464" s="65">
        <f t="shared" si="35"/>
        <v>0</v>
      </c>
      <c r="E464" s="524">
        <f t="shared" si="36"/>
        <v>1</v>
      </c>
      <c r="F464" s="281"/>
      <c r="G464" s="281"/>
      <c r="H464" s="281"/>
      <c r="I464" s="281"/>
      <c r="J464" s="426"/>
    </row>
    <row r="465" spans="1:10" ht="102">
      <c r="A465" s="13" t="s">
        <v>573</v>
      </c>
      <c r="B465" s="65">
        <v>97.97</v>
      </c>
      <c r="C465" s="65">
        <v>97.97</v>
      </c>
      <c r="D465" s="65">
        <f t="shared" si="35"/>
        <v>0</v>
      </c>
      <c r="E465" s="524">
        <f t="shared" si="36"/>
        <v>1</v>
      </c>
      <c r="F465" s="281"/>
      <c r="G465" s="281"/>
      <c r="H465" s="281"/>
      <c r="I465" s="281"/>
      <c r="J465" s="426"/>
    </row>
    <row r="466" spans="1:10" ht="38.25">
      <c r="A466" s="6" t="s">
        <v>607</v>
      </c>
      <c r="B466" s="6"/>
      <c r="C466" s="6"/>
      <c r="D466" s="70"/>
      <c r="E466" s="7"/>
      <c r="F466" s="102">
        <v>72924.67</v>
      </c>
      <c r="G466" s="102">
        <v>72924.67</v>
      </c>
      <c r="H466" s="9">
        <f>G466/F466</f>
        <v>1</v>
      </c>
      <c r="I466" s="7"/>
      <c r="J466" s="72"/>
    </row>
    <row r="467" spans="1:10" ht="38.25">
      <c r="A467" s="6" t="s">
        <v>608</v>
      </c>
      <c r="B467" s="6"/>
      <c r="C467" s="6"/>
      <c r="D467" s="70"/>
      <c r="E467" s="7"/>
      <c r="F467" s="102">
        <v>5430.83</v>
      </c>
      <c r="G467" s="102">
        <v>5430.83</v>
      </c>
      <c r="H467" s="9">
        <f>G467/F467</f>
        <v>1</v>
      </c>
      <c r="I467" s="7"/>
      <c r="J467" s="72"/>
    </row>
    <row r="468" spans="1:10" ht="251.25" customHeight="1">
      <c r="A468" s="6" t="s">
        <v>609</v>
      </c>
      <c r="B468" s="6"/>
      <c r="C468" s="6"/>
      <c r="D468" s="70"/>
      <c r="E468" s="7"/>
      <c r="F468" s="102">
        <v>720664.77</v>
      </c>
      <c r="G468" s="102">
        <v>694459.77</v>
      </c>
      <c r="H468" s="9">
        <f>G468/F468</f>
        <v>0.9636377396386395</v>
      </c>
      <c r="I468" s="7"/>
      <c r="J468" s="425" t="s">
        <v>768</v>
      </c>
    </row>
    <row r="469" spans="1:10" ht="126.75" customHeight="1">
      <c r="A469" s="6" t="s">
        <v>769</v>
      </c>
      <c r="B469" s="6"/>
      <c r="C469" s="6"/>
      <c r="D469" s="70"/>
      <c r="E469" s="7"/>
      <c r="F469" s="102">
        <v>134700</v>
      </c>
      <c r="G469" s="102">
        <v>134700</v>
      </c>
      <c r="H469" s="9">
        <f>G469/F469</f>
        <v>1</v>
      </c>
      <c r="I469" s="7"/>
      <c r="J469" s="72"/>
    </row>
    <row r="470" spans="1:10" ht="12.75" customHeight="1">
      <c r="A470" s="6" t="s">
        <v>770</v>
      </c>
      <c r="B470" s="186">
        <f>SUM(B458:B469)</f>
        <v>29801</v>
      </c>
      <c r="C470" s="186">
        <f>SUM(C458:C469)</f>
        <v>29801</v>
      </c>
      <c r="D470" s="65">
        <f>C470-B470</f>
        <v>0</v>
      </c>
      <c r="E470" s="65">
        <f>C470/B470</f>
        <v>1</v>
      </c>
      <c r="F470" s="9">
        <f>F466+F467+F468+F469</f>
        <v>933720.27</v>
      </c>
      <c r="G470" s="9">
        <f>G466+G467+G468+G469</f>
        <v>907515.27</v>
      </c>
      <c r="H470" s="7">
        <f>(H466+H467+H468+H469)/4</f>
        <v>0.9909094349096599</v>
      </c>
      <c r="I470" s="7">
        <f>E470/H470</f>
        <v>1.0091739615852673</v>
      </c>
      <c r="J470" s="72"/>
    </row>
    <row r="471" spans="1:10" ht="12.75" customHeight="1">
      <c r="A471" s="551" t="s">
        <v>771</v>
      </c>
      <c r="B471" s="551"/>
      <c r="C471" s="551"/>
      <c r="D471" s="551"/>
      <c r="E471" s="551"/>
      <c r="F471" s="551"/>
      <c r="G471" s="551"/>
      <c r="H471" s="551"/>
      <c r="I471" s="551"/>
      <c r="J471" s="551"/>
    </row>
    <row r="472" spans="1:10" ht="12.75" customHeight="1">
      <c r="A472" s="6" t="s">
        <v>587</v>
      </c>
      <c r="B472" s="64">
        <v>33</v>
      </c>
      <c r="C472" s="64">
        <v>33</v>
      </c>
      <c r="D472" s="64">
        <f>C472-B472</f>
        <v>0</v>
      </c>
      <c r="E472" s="65">
        <f>C472/B472</f>
        <v>1</v>
      </c>
      <c r="F472" s="71"/>
      <c r="G472" s="71"/>
      <c r="H472" s="9"/>
      <c r="I472" s="7"/>
      <c r="J472" s="499"/>
    </row>
    <row r="473" spans="1:10" ht="282" customHeight="1">
      <c r="A473" s="525" t="s">
        <v>772</v>
      </c>
      <c r="B473" s="6"/>
      <c r="C473" s="6"/>
      <c r="D473" s="70"/>
      <c r="E473" s="7"/>
      <c r="F473" s="102">
        <v>4324725.96</v>
      </c>
      <c r="G473" s="9">
        <v>3953655.6</v>
      </c>
      <c r="H473" s="9">
        <f>G473/F473</f>
        <v>0.9141979483943996</v>
      </c>
      <c r="I473" s="498"/>
      <c r="J473" s="501" t="s">
        <v>625</v>
      </c>
    </row>
    <row r="474" spans="1:10" ht="285.75" customHeight="1">
      <c r="A474" s="526"/>
      <c r="B474" s="6"/>
      <c r="C474" s="6"/>
      <c r="D474" s="70"/>
      <c r="E474" s="7"/>
      <c r="F474" s="102"/>
      <c r="G474" s="9"/>
      <c r="H474" s="9"/>
      <c r="I474" s="498"/>
      <c r="J474" s="502" t="s">
        <v>624</v>
      </c>
    </row>
    <row r="475" spans="1:10" ht="12.75">
      <c r="A475" s="497" t="s">
        <v>773</v>
      </c>
      <c r="B475" s="172">
        <f>B472</f>
        <v>33</v>
      </c>
      <c r="C475" s="172">
        <f>C472</f>
        <v>33</v>
      </c>
      <c r="D475" s="64">
        <f>C475-B475</f>
        <v>0</v>
      </c>
      <c r="E475" s="65">
        <f>C475/B475</f>
        <v>1</v>
      </c>
      <c r="F475" s="102">
        <f>SUM(F473:F473)</f>
        <v>4324725.96</v>
      </c>
      <c r="G475" s="9">
        <f>SUM(G473:G473)</f>
        <v>3953655.6</v>
      </c>
      <c r="H475" s="7">
        <f>G475/F475</f>
        <v>0.9141979483943996</v>
      </c>
      <c r="I475" s="7">
        <f>E475/H475</f>
        <v>1.093855003455536</v>
      </c>
      <c r="J475" s="500"/>
    </row>
    <row r="476" spans="1:10" ht="12.75" customHeight="1">
      <c r="A476" s="282" t="s">
        <v>180</v>
      </c>
      <c r="B476" s="503">
        <f>B456+B470+B475</f>
        <v>43713885</v>
      </c>
      <c r="C476" s="503">
        <f>C456+C470+C475</f>
        <v>43713885</v>
      </c>
      <c r="D476" s="149">
        <f>D456+D470+D475</f>
        <v>0</v>
      </c>
      <c r="E476" s="285">
        <f>C476/B476</f>
        <v>1</v>
      </c>
      <c r="F476" s="284">
        <f>F456+F470+F475</f>
        <v>5370022.4</v>
      </c>
      <c r="G476" s="284">
        <f>G456+G470+G475</f>
        <v>4971325.69</v>
      </c>
      <c r="H476" s="285">
        <f>G476/F476</f>
        <v>0.9257551123064217</v>
      </c>
      <c r="I476" s="285">
        <f>(I456+I470+I475)/3</f>
        <v>1.0386440560018346</v>
      </c>
      <c r="J476" s="427"/>
    </row>
    <row r="477" spans="1:10" ht="33.75" customHeight="1">
      <c r="A477" s="106" t="s">
        <v>759</v>
      </c>
      <c r="B477" s="187"/>
      <c r="C477" s="188"/>
      <c r="D477" s="188"/>
      <c r="E477" s="41"/>
      <c r="F477" s="36">
        <f>F476/F885</f>
        <v>0.002118027644996618</v>
      </c>
      <c r="G477" s="36">
        <f>G476/G885</f>
        <v>0.001981792416444167</v>
      </c>
      <c r="H477" s="41"/>
      <c r="I477" s="36"/>
      <c r="J477" s="189"/>
    </row>
    <row r="478" spans="1:10" s="165" customFormat="1" ht="21" customHeight="1">
      <c r="A478" s="559" t="s">
        <v>211</v>
      </c>
      <c r="B478" s="559"/>
      <c r="C478" s="559"/>
      <c r="D478" s="559"/>
      <c r="E478" s="559"/>
      <c r="F478" s="559"/>
      <c r="G478" s="559"/>
      <c r="H478" s="559"/>
      <c r="I478" s="559"/>
      <c r="J478" s="559"/>
    </row>
    <row r="479" spans="1:10" ht="12.75" customHeight="1">
      <c r="A479" s="531" t="s">
        <v>672</v>
      </c>
      <c r="B479" s="531"/>
      <c r="C479" s="531"/>
      <c r="D479" s="531"/>
      <c r="E479" s="531"/>
      <c r="F479" s="531"/>
      <c r="G479" s="531"/>
      <c r="H479" s="531"/>
      <c r="I479" s="531"/>
      <c r="J479" s="422"/>
    </row>
    <row r="480" spans="1:10" ht="63.75">
      <c r="A480" s="164" t="s">
        <v>673</v>
      </c>
      <c r="B480" s="358"/>
      <c r="C480" s="358"/>
      <c r="D480" s="358"/>
      <c r="E480" s="506"/>
      <c r="F480" s="76">
        <v>28978039.82</v>
      </c>
      <c r="G480" s="76">
        <v>28978039.82</v>
      </c>
      <c r="H480" s="76">
        <f>G480/F480</f>
        <v>1</v>
      </c>
      <c r="I480" s="359"/>
      <c r="J480" s="428"/>
    </row>
    <row r="481" spans="1:10" ht="25.5">
      <c r="A481" s="164" t="s">
        <v>198</v>
      </c>
      <c r="B481" s="360">
        <v>17</v>
      </c>
      <c r="C481" s="360">
        <v>17</v>
      </c>
      <c r="D481" s="360">
        <f>SUM(C481-B481)</f>
        <v>0</v>
      </c>
      <c r="E481" s="356">
        <f>SUM(C481/B481)</f>
        <v>1</v>
      </c>
      <c r="F481" s="76"/>
      <c r="G481" s="76"/>
      <c r="H481" s="76"/>
      <c r="I481" s="359"/>
      <c r="J481" s="428"/>
    </row>
    <row r="482" spans="1:10" ht="12.75">
      <c r="A482" s="164" t="s">
        <v>31</v>
      </c>
      <c r="B482" s="360">
        <v>568389.3</v>
      </c>
      <c r="C482" s="360">
        <v>568389.3</v>
      </c>
      <c r="D482" s="360">
        <f>SUM(C482-B482)</f>
        <v>0</v>
      </c>
      <c r="E482" s="356">
        <f>SUM(C482/B482)</f>
        <v>1</v>
      </c>
      <c r="F482" s="76"/>
      <c r="G482" s="76"/>
      <c r="H482" s="76"/>
      <c r="I482" s="359"/>
      <c r="J482" s="428"/>
    </row>
    <row r="483" spans="1:10" ht="12.75">
      <c r="A483" s="164" t="s">
        <v>32</v>
      </c>
      <c r="B483" s="360">
        <v>514936</v>
      </c>
      <c r="C483" s="360">
        <v>514936</v>
      </c>
      <c r="D483" s="360">
        <f>SUM(C483-B483)</f>
        <v>0</v>
      </c>
      <c r="E483" s="356">
        <f>SUM(C483/B483)</f>
        <v>1</v>
      </c>
      <c r="F483" s="76"/>
      <c r="G483" s="76"/>
      <c r="H483" s="76"/>
      <c r="I483" s="359"/>
      <c r="J483" s="428"/>
    </row>
    <row r="484" spans="1:10" ht="22.5" customHeight="1">
      <c r="A484" s="164" t="s">
        <v>447</v>
      </c>
      <c r="B484" s="360"/>
      <c r="C484" s="360"/>
      <c r="D484" s="360"/>
      <c r="E484" s="356"/>
      <c r="F484" s="76">
        <v>32426810.62</v>
      </c>
      <c r="G484" s="76">
        <v>32378366.89</v>
      </c>
      <c r="H484" s="76">
        <f>G484/F484</f>
        <v>0.9985060593665008</v>
      </c>
      <c r="I484" s="359"/>
      <c r="J484" s="428"/>
    </row>
    <row r="485" spans="1:10" ht="25.5">
      <c r="A485" s="167" t="s">
        <v>681</v>
      </c>
      <c r="B485" s="361">
        <v>20.053</v>
      </c>
      <c r="C485" s="361">
        <v>20.053</v>
      </c>
      <c r="D485" s="360">
        <f>C485-B485</f>
        <v>0</v>
      </c>
      <c r="E485" s="356">
        <f>C485/B485</f>
        <v>1</v>
      </c>
      <c r="F485" s="76"/>
      <c r="G485" s="76"/>
      <c r="H485" s="76"/>
      <c r="I485" s="359"/>
      <c r="J485" s="428"/>
    </row>
    <row r="486" spans="1:10" ht="12.75">
      <c r="A486" s="167" t="s">
        <v>199</v>
      </c>
      <c r="B486" s="361">
        <v>20145</v>
      </c>
      <c r="C486" s="361">
        <v>20145</v>
      </c>
      <c r="D486" s="360">
        <f>C486-B486</f>
        <v>0</v>
      </c>
      <c r="E486" s="356">
        <f>C486/B486</f>
        <v>1</v>
      </c>
      <c r="F486" s="76"/>
      <c r="G486" s="76"/>
      <c r="H486" s="76"/>
      <c r="I486" s="359"/>
      <c r="J486" s="428"/>
    </row>
    <row r="487" spans="1:10" ht="25.5">
      <c r="A487" s="167" t="s">
        <v>682</v>
      </c>
      <c r="B487" s="361">
        <v>23</v>
      </c>
      <c r="C487" s="361">
        <v>23</v>
      </c>
      <c r="D487" s="360">
        <f>C487-B487</f>
        <v>0</v>
      </c>
      <c r="E487" s="356">
        <f>C487/B487</f>
        <v>1</v>
      </c>
      <c r="F487" s="76"/>
      <c r="G487" s="76"/>
      <c r="H487" s="76"/>
      <c r="I487" s="359"/>
      <c r="J487" s="428"/>
    </row>
    <row r="488" spans="1:10" ht="25.5">
      <c r="A488" s="167" t="s">
        <v>33</v>
      </c>
      <c r="B488" s="361">
        <v>10699.5</v>
      </c>
      <c r="C488" s="361">
        <v>10699.5</v>
      </c>
      <c r="D488" s="360">
        <f>C488-B488</f>
        <v>0</v>
      </c>
      <c r="E488" s="356">
        <f>C488/B488</f>
        <v>1</v>
      </c>
      <c r="F488" s="76"/>
      <c r="G488" s="76"/>
      <c r="H488" s="76"/>
      <c r="I488" s="359"/>
      <c r="J488" s="428"/>
    </row>
    <row r="489" spans="1:10" ht="25.5">
      <c r="A489" s="167" t="s">
        <v>665</v>
      </c>
      <c r="B489" s="361">
        <v>18</v>
      </c>
      <c r="C489" s="361">
        <v>18</v>
      </c>
      <c r="D489" s="360">
        <f>C489-B489</f>
        <v>0</v>
      </c>
      <c r="E489" s="356">
        <f>C489/B489</f>
        <v>1</v>
      </c>
      <c r="F489" s="76"/>
      <c r="G489" s="76"/>
      <c r="H489" s="76"/>
      <c r="I489" s="359"/>
      <c r="J489" s="428"/>
    </row>
    <row r="490" spans="1:10" ht="38.25">
      <c r="A490" s="164" t="s">
        <v>674</v>
      </c>
      <c r="B490" s="360"/>
      <c r="C490" s="360"/>
      <c r="D490" s="360"/>
      <c r="E490" s="356"/>
      <c r="F490" s="76">
        <v>1396490.11</v>
      </c>
      <c r="G490" s="76">
        <v>1341056.54</v>
      </c>
      <c r="H490" s="76">
        <f>G490/F490</f>
        <v>0.9603050751286738</v>
      </c>
      <c r="I490" s="359"/>
      <c r="J490" s="428" t="s">
        <v>666</v>
      </c>
    </row>
    <row r="491" spans="1:10" ht="25.5">
      <c r="A491" s="55" t="s">
        <v>684</v>
      </c>
      <c r="B491" s="361">
        <v>299</v>
      </c>
      <c r="C491" s="361">
        <v>299</v>
      </c>
      <c r="D491" s="360">
        <f>C491-B491</f>
        <v>0</v>
      </c>
      <c r="E491" s="356">
        <f>C491/B491</f>
        <v>1</v>
      </c>
      <c r="F491" s="76"/>
      <c r="G491" s="76"/>
      <c r="H491" s="76"/>
      <c r="I491" s="359"/>
      <c r="J491" s="428"/>
    </row>
    <row r="492" spans="1:10" ht="12.75">
      <c r="A492" s="55" t="s">
        <v>685</v>
      </c>
      <c r="B492" s="361">
        <v>211.3</v>
      </c>
      <c r="C492" s="361">
        <v>211.3</v>
      </c>
      <c r="D492" s="360">
        <f>C492-B492</f>
        <v>0</v>
      </c>
      <c r="E492" s="356">
        <f>C492/B492</f>
        <v>1</v>
      </c>
      <c r="F492" s="76"/>
      <c r="G492" s="76"/>
      <c r="H492" s="76"/>
      <c r="I492" s="359"/>
      <c r="J492" s="428"/>
    </row>
    <row r="493" spans="1:10" ht="25.5">
      <c r="A493" s="55" t="s">
        <v>710</v>
      </c>
      <c r="B493" s="362">
        <v>1</v>
      </c>
      <c r="C493" s="362">
        <v>1</v>
      </c>
      <c r="D493" s="360">
        <f>C493-B493</f>
        <v>0</v>
      </c>
      <c r="E493" s="356">
        <f>C493/B493</f>
        <v>1</v>
      </c>
      <c r="F493" s="76"/>
      <c r="G493" s="76"/>
      <c r="H493" s="76"/>
      <c r="I493" s="359"/>
      <c r="J493" s="428"/>
    </row>
    <row r="494" spans="1:10" ht="36">
      <c r="A494" s="55" t="s">
        <v>675</v>
      </c>
      <c r="B494" s="76"/>
      <c r="C494" s="76"/>
      <c r="D494" s="360"/>
      <c r="E494" s="356"/>
      <c r="F494" s="76">
        <v>17679730.15</v>
      </c>
      <c r="G494" s="76">
        <v>16779652.11</v>
      </c>
      <c r="H494" s="76">
        <f>G494/F494</f>
        <v>0.9490898315549234</v>
      </c>
      <c r="I494" s="359"/>
      <c r="J494" s="428" t="s">
        <v>666</v>
      </c>
    </row>
    <row r="495" spans="1:10" ht="25.5">
      <c r="A495" s="168" t="s">
        <v>683</v>
      </c>
      <c r="B495" s="362">
        <v>114.71</v>
      </c>
      <c r="C495" s="362">
        <v>114.71</v>
      </c>
      <c r="D495" s="360">
        <f>C495-B495</f>
        <v>0</v>
      </c>
      <c r="E495" s="356">
        <f>C495/B495</f>
        <v>1</v>
      </c>
      <c r="F495" s="76"/>
      <c r="G495" s="76"/>
      <c r="H495" s="76"/>
      <c r="I495" s="359"/>
      <c r="J495" s="428"/>
    </row>
    <row r="496" spans="1:10" ht="12.75">
      <c r="A496" s="164" t="s">
        <v>676</v>
      </c>
      <c r="B496" s="360"/>
      <c r="C496" s="360"/>
      <c r="D496" s="360"/>
      <c r="E496" s="356"/>
      <c r="F496" s="76">
        <v>4925168.62</v>
      </c>
      <c r="G496" s="76">
        <v>4925168.62</v>
      </c>
      <c r="H496" s="76">
        <f>G496/F496</f>
        <v>1</v>
      </c>
      <c r="I496" s="359"/>
      <c r="J496" s="428"/>
    </row>
    <row r="497" spans="1:10" s="26" customFormat="1" ht="15" customHeight="1">
      <c r="A497" s="164" t="s">
        <v>686</v>
      </c>
      <c r="B497" s="360">
        <v>103971</v>
      </c>
      <c r="C497" s="360">
        <v>103971</v>
      </c>
      <c r="D497" s="360">
        <f>C497-B497</f>
        <v>0</v>
      </c>
      <c r="E497" s="356">
        <f>C497/B497</f>
        <v>1</v>
      </c>
      <c r="F497" s="76"/>
      <c r="G497" s="76"/>
      <c r="H497" s="76"/>
      <c r="I497" s="359"/>
      <c r="J497" s="428"/>
    </row>
    <row r="498" spans="1:10" s="26" customFormat="1" ht="26.25" customHeight="1">
      <c r="A498" s="164" t="s">
        <v>36</v>
      </c>
      <c r="B498" s="360">
        <v>19714.2</v>
      </c>
      <c r="C498" s="360">
        <v>19714.2</v>
      </c>
      <c r="D498" s="360">
        <f>C498-B498</f>
        <v>0</v>
      </c>
      <c r="E498" s="356">
        <f>C498/B498</f>
        <v>1</v>
      </c>
      <c r="F498" s="76"/>
      <c r="G498" s="76"/>
      <c r="H498" s="76"/>
      <c r="I498" s="359"/>
      <c r="J498" s="428"/>
    </row>
    <row r="499" spans="1:10" s="26" customFormat="1" ht="26.25" customHeight="1">
      <c r="A499" s="164" t="s">
        <v>667</v>
      </c>
      <c r="B499" s="360">
        <v>2672</v>
      </c>
      <c r="C499" s="360">
        <v>2672</v>
      </c>
      <c r="D499" s="360">
        <f>C499-B499</f>
        <v>0</v>
      </c>
      <c r="E499" s="356">
        <f>C499/B499</f>
        <v>1</v>
      </c>
      <c r="F499" s="76"/>
      <c r="G499" s="76"/>
      <c r="H499" s="76"/>
      <c r="I499" s="359"/>
      <c r="J499" s="428"/>
    </row>
    <row r="500" spans="1:10" ht="25.5">
      <c r="A500" s="164" t="s">
        <v>425</v>
      </c>
      <c r="B500" s="360">
        <v>2462.3</v>
      </c>
      <c r="C500" s="360">
        <v>2462.3</v>
      </c>
      <c r="D500" s="360">
        <f>C500-B500</f>
        <v>0</v>
      </c>
      <c r="E500" s="356">
        <f>C500/B500</f>
        <v>1</v>
      </c>
      <c r="F500" s="76"/>
      <c r="G500" s="76"/>
      <c r="H500" s="76"/>
      <c r="I500" s="359"/>
      <c r="J500" s="428"/>
    </row>
    <row r="501" spans="1:10" ht="25.5">
      <c r="A501" s="164" t="s">
        <v>677</v>
      </c>
      <c r="B501" s="360"/>
      <c r="C501" s="360"/>
      <c r="D501" s="360"/>
      <c r="E501" s="356"/>
      <c r="F501" s="76">
        <v>24052515</v>
      </c>
      <c r="G501" s="76">
        <v>24046902.7</v>
      </c>
      <c r="H501" s="58">
        <f>G501/F501</f>
        <v>0.9997666647333969</v>
      </c>
      <c r="I501" s="359"/>
      <c r="J501" s="428"/>
    </row>
    <row r="502" spans="1:10" ht="25.5">
      <c r="A502" s="164" t="s">
        <v>426</v>
      </c>
      <c r="B502" s="76">
        <v>1418.8</v>
      </c>
      <c r="C502" s="76">
        <v>1418.8</v>
      </c>
      <c r="D502" s="360">
        <f aca="true" t="shared" si="37" ref="D502:D510">C502-B502</f>
        <v>0</v>
      </c>
      <c r="E502" s="356">
        <f aca="true" t="shared" si="38" ref="E502:E510">C502/B502</f>
        <v>1</v>
      </c>
      <c r="F502" s="76"/>
      <c r="G502" s="76"/>
      <c r="H502" s="58"/>
      <c r="I502" s="359"/>
      <c r="J502" s="428"/>
    </row>
    <row r="503" spans="1:10" ht="25.5">
      <c r="A503" s="164" t="s">
        <v>87</v>
      </c>
      <c r="B503" s="76">
        <v>7</v>
      </c>
      <c r="C503" s="76">
        <v>7</v>
      </c>
      <c r="D503" s="360">
        <f t="shared" si="37"/>
        <v>0</v>
      </c>
      <c r="E503" s="356">
        <f t="shared" si="38"/>
        <v>1</v>
      </c>
      <c r="F503" s="76"/>
      <c r="G503" s="76"/>
      <c r="H503" s="58"/>
      <c r="I503" s="359"/>
      <c r="J503" s="428"/>
    </row>
    <row r="504" spans="1:10" ht="25.5">
      <c r="A504" s="164" t="s">
        <v>427</v>
      </c>
      <c r="B504" s="76">
        <v>25.93</v>
      </c>
      <c r="C504" s="76">
        <v>25.93</v>
      </c>
      <c r="D504" s="360">
        <f t="shared" si="37"/>
        <v>0</v>
      </c>
      <c r="E504" s="356">
        <f t="shared" si="38"/>
        <v>1</v>
      </c>
      <c r="F504" s="76"/>
      <c r="G504" s="76"/>
      <c r="H504" s="58"/>
      <c r="I504" s="359"/>
      <c r="J504" s="428"/>
    </row>
    <row r="505" spans="1:10" ht="25.5">
      <c r="A505" s="164" t="s">
        <v>88</v>
      </c>
      <c r="B505" s="76">
        <v>1</v>
      </c>
      <c r="C505" s="76">
        <v>1</v>
      </c>
      <c r="D505" s="360">
        <f>C505-B505</f>
        <v>0</v>
      </c>
      <c r="E505" s="356">
        <f>C505/B505</f>
        <v>1</v>
      </c>
      <c r="F505" s="76"/>
      <c r="G505" s="76"/>
      <c r="H505" s="58"/>
      <c r="I505" s="359"/>
      <c r="J505" s="428"/>
    </row>
    <row r="506" spans="1:10" ht="63.75">
      <c r="A506" s="164" t="s">
        <v>89</v>
      </c>
      <c r="B506" s="76">
        <v>2766</v>
      </c>
      <c r="C506" s="76">
        <v>2766</v>
      </c>
      <c r="D506" s="360">
        <f t="shared" si="37"/>
        <v>0</v>
      </c>
      <c r="E506" s="356">
        <f t="shared" si="38"/>
        <v>1</v>
      </c>
      <c r="F506" s="76"/>
      <c r="G506" s="76"/>
      <c r="H506" s="58"/>
      <c r="I506" s="359"/>
      <c r="J506" s="428"/>
    </row>
    <row r="507" spans="1:10" ht="25.5">
      <c r="A507" s="164" t="s">
        <v>132</v>
      </c>
      <c r="B507" s="360">
        <v>1</v>
      </c>
      <c r="C507" s="360">
        <v>1</v>
      </c>
      <c r="D507" s="360">
        <f t="shared" si="37"/>
        <v>0</v>
      </c>
      <c r="E507" s="356">
        <f t="shared" si="38"/>
        <v>1</v>
      </c>
      <c r="F507" s="76"/>
      <c r="G507" s="76"/>
      <c r="H507" s="58"/>
      <c r="I507" s="359"/>
      <c r="J507" s="428"/>
    </row>
    <row r="508" spans="1:10" ht="25.5">
      <c r="A508" s="164" t="s">
        <v>90</v>
      </c>
      <c r="B508" s="360">
        <v>1</v>
      </c>
      <c r="C508" s="360">
        <v>1</v>
      </c>
      <c r="D508" s="360">
        <f t="shared" si="37"/>
        <v>0</v>
      </c>
      <c r="E508" s="356">
        <f t="shared" si="38"/>
        <v>1</v>
      </c>
      <c r="F508" s="76"/>
      <c r="G508" s="76"/>
      <c r="H508" s="58"/>
      <c r="I508" s="359"/>
      <c r="J508" s="428"/>
    </row>
    <row r="509" spans="1:10" ht="25.5">
      <c r="A509" s="164" t="s">
        <v>335</v>
      </c>
      <c r="B509" s="360">
        <v>237</v>
      </c>
      <c r="C509" s="360">
        <v>237</v>
      </c>
      <c r="D509" s="360">
        <f t="shared" si="37"/>
        <v>0</v>
      </c>
      <c r="E509" s="356">
        <f t="shared" si="38"/>
        <v>1</v>
      </c>
      <c r="F509" s="76"/>
      <c r="G509" s="76"/>
      <c r="H509" s="58"/>
      <c r="I509" s="359"/>
      <c r="J509" s="428"/>
    </row>
    <row r="510" spans="1:10" ht="25.5" customHeight="1">
      <c r="A510" s="164" t="s">
        <v>336</v>
      </c>
      <c r="B510" s="360">
        <v>1</v>
      </c>
      <c r="C510" s="360">
        <v>1</v>
      </c>
      <c r="D510" s="360">
        <f t="shared" si="37"/>
        <v>0</v>
      </c>
      <c r="E510" s="356">
        <f t="shared" si="38"/>
        <v>1</v>
      </c>
      <c r="F510" s="76"/>
      <c r="G510" s="76"/>
      <c r="H510" s="58"/>
      <c r="I510" s="359"/>
      <c r="J510" s="428"/>
    </row>
    <row r="511" spans="1:10" ht="48">
      <c r="A511" s="164" t="s">
        <v>34</v>
      </c>
      <c r="B511" s="4"/>
      <c r="C511" s="4"/>
      <c r="D511" s="360"/>
      <c r="E511" s="356"/>
      <c r="F511" s="76">
        <v>2616152.41</v>
      </c>
      <c r="G511" s="76">
        <v>2580878.41</v>
      </c>
      <c r="H511" s="58">
        <f>G511/F511</f>
        <v>0.9865168405842227</v>
      </c>
      <c r="I511" s="359"/>
      <c r="J511" s="428" t="s">
        <v>91</v>
      </c>
    </row>
    <row r="512" spans="1:10" ht="38.25">
      <c r="A512" s="12" t="s">
        <v>328</v>
      </c>
      <c r="B512" s="360">
        <v>6008.5</v>
      </c>
      <c r="C512" s="360">
        <v>6008.5</v>
      </c>
      <c r="D512" s="360">
        <f>C512-B512</f>
        <v>0</v>
      </c>
      <c r="E512" s="356">
        <f>C512/B512</f>
        <v>1</v>
      </c>
      <c r="F512" s="76"/>
      <c r="G512" s="76"/>
      <c r="H512" s="58"/>
      <c r="I512" s="359"/>
      <c r="J512" s="428"/>
    </row>
    <row r="513" spans="1:10" ht="25.5">
      <c r="A513" s="87" t="s">
        <v>92</v>
      </c>
      <c r="B513" s="360">
        <v>140.1</v>
      </c>
      <c r="C513" s="360">
        <v>140.1</v>
      </c>
      <c r="D513" s="360">
        <f>C513-B513</f>
        <v>0</v>
      </c>
      <c r="E513" s="356">
        <f>C513/B513</f>
        <v>1</v>
      </c>
      <c r="F513" s="76"/>
      <c r="G513" s="76"/>
      <c r="H513" s="58"/>
      <c r="I513" s="359"/>
      <c r="J513" s="428"/>
    </row>
    <row r="514" spans="1:10" ht="12.75">
      <c r="A514" s="12" t="s">
        <v>93</v>
      </c>
      <c r="B514" s="4"/>
      <c r="C514" s="4"/>
      <c r="D514" s="360"/>
      <c r="E514" s="356"/>
      <c r="F514" s="76">
        <v>4443595.34</v>
      </c>
      <c r="G514" s="76">
        <v>4443595.34</v>
      </c>
      <c r="H514" s="58">
        <f>G514/F514</f>
        <v>1</v>
      </c>
      <c r="I514" s="359"/>
      <c r="J514" s="428"/>
    </row>
    <row r="515" spans="1:10" ht="25.5">
      <c r="A515" s="12" t="s">
        <v>329</v>
      </c>
      <c r="B515" s="360" t="s">
        <v>94</v>
      </c>
      <c r="C515" s="360" t="s">
        <v>94</v>
      </c>
      <c r="D515" s="360">
        <v>0</v>
      </c>
      <c r="E515" s="356">
        <v>1</v>
      </c>
      <c r="F515" s="76"/>
      <c r="G515" s="76"/>
      <c r="H515" s="58"/>
      <c r="I515" s="359"/>
      <c r="J515" s="428"/>
    </row>
    <row r="516" spans="1:10" ht="25.5">
      <c r="A516" s="12" t="s">
        <v>330</v>
      </c>
      <c r="B516" s="360">
        <v>279</v>
      </c>
      <c r="C516" s="360">
        <v>279</v>
      </c>
      <c r="D516" s="360">
        <f>C516-B516</f>
        <v>0</v>
      </c>
      <c r="E516" s="356">
        <f>C516/B516</f>
        <v>1</v>
      </c>
      <c r="F516" s="76"/>
      <c r="G516" s="76"/>
      <c r="H516" s="58"/>
      <c r="I516" s="359"/>
      <c r="J516" s="428"/>
    </row>
    <row r="517" spans="1:10" ht="25.5">
      <c r="A517" s="12" t="s">
        <v>95</v>
      </c>
      <c r="B517" s="360">
        <v>162</v>
      </c>
      <c r="C517" s="360">
        <v>162</v>
      </c>
      <c r="D517" s="360">
        <f>C517-B517</f>
        <v>0</v>
      </c>
      <c r="E517" s="356">
        <f>C517/B517</f>
        <v>1</v>
      </c>
      <c r="F517" s="76"/>
      <c r="G517" s="76"/>
      <c r="H517" s="58"/>
      <c r="I517" s="359"/>
      <c r="J517" s="428"/>
    </row>
    <row r="518" spans="1:10" ht="12.75">
      <c r="A518" s="12" t="s">
        <v>709</v>
      </c>
      <c r="B518" s="360">
        <v>154.5</v>
      </c>
      <c r="C518" s="360">
        <v>154.5</v>
      </c>
      <c r="D518" s="360">
        <f>C518-B518</f>
        <v>0</v>
      </c>
      <c r="E518" s="356">
        <f>C518/B518</f>
        <v>1</v>
      </c>
      <c r="F518" s="76"/>
      <c r="G518" s="76"/>
      <c r="H518" s="58"/>
      <c r="I518" s="359"/>
      <c r="J518" s="428"/>
    </row>
    <row r="519" spans="1:10" ht="25.5">
      <c r="A519" s="12" t="s">
        <v>96</v>
      </c>
      <c r="B519" s="360">
        <v>23.8</v>
      </c>
      <c r="C519" s="360">
        <v>23.8</v>
      </c>
      <c r="D519" s="360">
        <f>C519-B519</f>
        <v>0</v>
      </c>
      <c r="E519" s="356">
        <f>C519/B519</f>
        <v>1</v>
      </c>
      <c r="F519" s="76"/>
      <c r="G519" s="76"/>
      <c r="H519" s="58"/>
      <c r="I519" s="359"/>
      <c r="J519" s="428"/>
    </row>
    <row r="520" spans="1:10" ht="12.75">
      <c r="A520" s="504" t="s">
        <v>678</v>
      </c>
      <c r="B520" s="39">
        <f>SUM(B480:B519)</f>
        <v>1254919.9930000002</v>
      </c>
      <c r="C520" s="39">
        <f>SUM(C480:C519)</f>
        <v>1254919.9930000002</v>
      </c>
      <c r="D520" s="39">
        <f>C520-B520</f>
        <v>0</v>
      </c>
      <c r="E520" s="45">
        <f>C520/B520</f>
        <v>1</v>
      </c>
      <c r="F520" s="39">
        <f>SUM(F480:F517)</f>
        <v>116518502.07</v>
      </c>
      <c r="G520" s="39">
        <f>SUM(G480:G517)</f>
        <v>115473660.43</v>
      </c>
      <c r="H520" s="45">
        <f>(H484+H490+H494+H496+H501+H511+H514)/7</f>
        <v>0.984883495909674</v>
      </c>
      <c r="I520" s="45">
        <f>E520/H520</f>
        <v>1.0153485200565413</v>
      </c>
      <c r="J520" s="505"/>
    </row>
    <row r="521" spans="1:10" ht="12.75" customHeight="1">
      <c r="A521" s="558" t="s">
        <v>26</v>
      </c>
      <c r="B521" s="558"/>
      <c r="C521" s="558"/>
      <c r="D521" s="558"/>
      <c r="E521" s="558"/>
      <c r="F521" s="558"/>
      <c r="G521" s="558"/>
      <c r="H521" s="558"/>
      <c r="I521" s="558"/>
      <c r="J521" s="558"/>
    </row>
    <row r="522" spans="1:10" ht="84" customHeight="1">
      <c r="A522" s="170" t="s">
        <v>97</v>
      </c>
      <c r="B522" s="360"/>
      <c r="C522" s="360"/>
      <c r="D522" s="360"/>
      <c r="E522" s="356"/>
      <c r="F522" s="76">
        <v>289516</v>
      </c>
      <c r="G522" s="76">
        <v>289516</v>
      </c>
      <c r="H522" s="58">
        <f>G522/F522</f>
        <v>1</v>
      </c>
      <c r="I522" s="58"/>
      <c r="J522" s="430"/>
    </row>
    <row r="523" spans="1:10" ht="25.5">
      <c r="A523" s="166" t="s">
        <v>98</v>
      </c>
      <c r="B523" s="360">
        <v>1</v>
      </c>
      <c r="C523" s="360">
        <v>1</v>
      </c>
      <c r="D523" s="360">
        <f>C523-B523</f>
        <v>0</v>
      </c>
      <c r="E523" s="356">
        <f>C523/B523</f>
        <v>1</v>
      </c>
      <c r="F523" s="76"/>
      <c r="G523" s="76"/>
      <c r="H523" s="58"/>
      <c r="I523" s="58"/>
      <c r="J523" s="430"/>
    </row>
    <row r="524" spans="1:10" ht="12.75">
      <c r="A524" s="166" t="s">
        <v>99</v>
      </c>
      <c r="B524" s="360"/>
      <c r="C524" s="360"/>
      <c r="D524" s="360"/>
      <c r="E524" s="356"/>
      <c r="F524" s="76">
        <v>97301.5</v>
      </c>
      <c r="G524" s="76">
        <v>97301.5</v>
      </c>
      <c r="H524" s="58">
        <f>G524/F524</f>
        <v>1</v>
      </c>
      <c r="I524" s="58"/>
      <c r="J524" s="430"/>
    </row>
    <row r="525" spans="1:10" ht="25.5">
      <c r="A525" s="166" t="s">
        <v>100</v>
      </c>
      <c r="B525" s="360">
        <v>3</v>
      </c>
      <c r="C525" s="360">
        <v>3</v>
      </c>
      <c r="D525" s="360">
        <f>C525-B525</f>
        <v>0</v>
      </c>
      <c r="E525" s="356">
        <f>C525/B525</f>
        <v>1</v>
      </c>
      <c r="F525" s="76"/>
      <c r="G525" s="76"/>
      <c r="H525" s="58"/>
      <c r="I525" s="58"/>
      <c r="J525" s="430"/>
    </row>
    <row r="526" spans="1:10" ht="12.75">
      <c r="A526" s="504" t="s">
        <v>27</v>
      </c>
      <c r="B526" s="76">
        <f>SUM(B522:B525)</f>
        <v>4</v>
      </c>
      <c r="C526" s="76">
        <f>SUM(C522:C525)</f>
        <v>4</v>
      </c>
      <c r="D526" s="76">
        <f>C526-B526</f>
        <v>0</v>
      </c>
      <c r="E526" s="58">
        <f>C526/B526</f>
        <v>1</v>
      </c>
      <c r="F526" s="76">
        <f>SUM(F522:F525)</f>
        <v>386817.5</v>
      </c>
      <c r="G526" s="76">
        <f>SUM(G522:G525)</f>
        <v>386817.5</v>
      </c>
      <c r="H526" s="58">
        <f>G526/F526</f>
        <v>1</v>
      </c>
      <c r="I526" s="58"/>
      <c r="J526" s="430"/>
    </row>
    <row r="527" spans="1:10" ht="71.25" customHeight="1">
      <c r="A527" s="48" t="s">
        <v>101</v>
      </c>
      <c r="B527" s="360"/>
      <c r="C527" s="360"/>
      <c r="D527" s="360"/>
      <c r="E527" s="356"/>
      <c r="F527" s="76">
        <v>9595092.98</v>
      </c>
      <c r="G527" s="76">
        <v>9593336.16</v>
      </c>
      <c r="H527" s="58">
        <f>G527/F527</f>
        <v>0.9998169043276952</v>
      </c>
      <c r="I527" s="58"/>
      <c r="J527" s="428"/>
    </row>
    <row r="528" spans="1:10" ht="12.75">
      <c r="A528" s="48" t="s">
        <v>337</v>
      </c>
      <c r="B528" s="360">
        <v>19.9</v>
      </c>
      <c r="C528" s="360">
        <v>19.9</v>
      </c>
      <c r="D528" s="360">
        <f>C528-B528</f>
        <v>0</v>
      </c>
      <c r="E528" s="356">
        <f>C528/B528</f>
        <v>1</v>
      </c>
      <c r="F528" s="76"/>
      <c r="G528" s="76"/>
      <c r="H528" s="58"/>
      <c r="I528" s="58"/>
      <c r="J528" s="428"/>
    </row>
    <row r="529" spans="1:10" ht="35.25" customHeight="1">
      <c r="A529" s="48" t="s">
        <v>338</v>
      </c>
      <c r="B529" s="360">
        <v>5</v>
      </c>
      <c r="C529" s="360">
        <v>5</v>
      </c>
      <c r="D529" s="360">
        <f>C529-B529</f>
        <v>0</v>
      </c>
      <c r="E529" s="356">
        <f>C529/B529</f>
        <v>1</v>
      </c>
      <c r="F529" s="76"/>
      <c r="G529" s="76"/>
      <c r="H529" s="58"/>
      <c r="I529" s="58"/>
      <c r="J529" s="428"/>
    </row>
    <row r="530" spans="1:10" ht="12.75">
      <c r="A530" s="48" t="s">
        <v>339</v>
      </c>
      <c r="B530" s="360">
        <v>360</v>
      </c>
      <c r="C530" s="360">
        <v>360</v>
      </c>
      <c r="D530" s="360">
        <f>C530-B530</f>
        <v>0</v>
      </c>
      <c r="E530" s="356">
        <f>C530/B530</f>
        <v>1</v>
      </c>
      <c r="F530" s="76"/>
      <c r="G530" s="76"/>
      <c r="H530" s="58"/>
      <c r="I530" s="58"/>
      <c r="J530" s="428"/>
    </row>
    <row r="531" spans="1:10" ht="25.5">
      <c r="A531" s="167" t="s">
        <v>235</v>
      </c>
      <c r="B531" s="360">
        <v>80</v>
      </c>
      <c r="C531" s="360">
        <v>80</v>
      </c>
      <c r="D531" s="360">
        <f>C531-B531</f>
        <v>0</v>
      </c>
      <c r="E531" s="356">
        <f>C531/B531</f>
        <v>1</v>
      </c>
      <c r="F531" s="76"/>
      <c r="G531" s="76"/>
      <c r="H531" s="58"/>
      <c r="I531" s="58"/>
      <c r="J531" s="428"/>
    </row>
    <row r="532" spans="1:10" ht="38.25">
      <c r="A532" s="87" t="s">
        <v>429</v>
      </c>
      <c r="B532" s="360"/>
      <c r="C532" s="360"/>
      <c r="D532" s="360"/>
      <c r="E532" s="356"/>
      <c r="F532" s="76">
        <v>20856086.16</v>
      </c>
      <c r="G532" s="76">
        <v>20856086.16</v>
      </c>
      <c r="H532" s="58">
        <f>G532/F532</f>
        <v>1</v>
      </c>
      <c r="I532" s="58"/>
      <c r="J532" s="428"/>
    </row>
    <row r="533" spans="1:10" ht="25.5">
      <c r="A533" s="87" t="s">
        <v>340</v>
      </c>
      <c r="B533" s="360">
        <v>17529</v>
      </c>
      <c r="C533" s="360">
        <v>17529</v>
      </c>
      <c r="D533" s="360">
        <f>C533-B533</f>
        <v>0</v>
      </c>
      <c r="E533" s="356">
        <f>C533/B533</f>
        <v>1</v>
      </c>
      <c r="F533" s="76"/>
      <c r="G533" s="76"/>
      <c r="H533" s="58"/>
      <c r="I533" s="58"/>
      <c r="J533" s="428"/>
    </row>
    <row r="534" spans="1:10" ht="51">
      <c r="A534" s="87" t="s">
        <v>430</v>
      </c>
      <c r="B534" s="360"/>
      <c r="C534" s="360"/>
      <c r="D534" s="360"/>
      <c r="E534" s="356"/>
      <c r="F534" s="76">
        <v>28084665.01</v>
      </c>
      <c r="G534" s="363">
        <v>28013220.17</v>
      </c>
      <c r="H534" s="58">
        <f>G534/F534</f>
        <v>0.9974560907180284</v>
      </c>
      <c r="I534" s="58"/>
      <c r="J534" s="428"/>
    </row>
    <row r="535" spans="1:10" ht="25.5">
      <c r="A535" s="87" t="s">
        <v>341</v>
      </c>
      <c r="B535" s="360">
        <v>1000</v>
      </c>
      <c r="C535" s="360">
        <v>1000</v>
      </c>
      <c r="D535" s="360">
        <f>C535-B535</f>
        <v>0</v>
      </c>
      <c r="E535" s="356">
        <f>C535/B535</f>
        <v>1</v>
      </c>
      <c r="F535" s="76"/>
      <c r="G535" s="76"/>
      <c r="H535" s="58"/>
      <c r="I535" s="58"/>
      <c r="J535" s="428"/>
    </row>
    <row r="536" spans="1:10" ht="12.75">
      <c r="A536" s="87" t="s">
        <v>342</v>
      </c>
      <c r="B536" s="360">
        <v>240</v>
      </c>
      <c r="C536" s="360">
        <v>240</v>
      </c>
      <c r="D536" s="360">
        <f>C536-B536</f>
        <v>0</v>
      </c>
      <c r="E536" s="356">
        <f>C536/B536</f>
        <v>1</v>
      </c>
      <c r="F536" s="76"/>
      <c r="G536" s="76"/>
      <c r="H536" s="58"/>
      <c r="I536" s="58"/>
      <c r="J536" s="428"/>
    </row>
    <row r="537" spans="1:10" ht="25.5">
      <c r="A537" s="87" t="s">
        <v>343</v>
      </c>
      <c r="B537" s="360">
        <v>106</v>
      </c>
      <c r="C537" s="360">
        <v>106</v>
      </c>
      <c r="D537" s="360">
        <f>C537-B537</f>
        <v>0</v>
      </c>
      <c r="E537" s="356">
        <f>C537/B537</f>
        <v>1</v>
      </c>
      <c r="F537" s="76"/>
      <c r="G537" s="76"/>
      <c r="H537" s="58"/>
      <c r="I537" s="58"/>
      <c r="J537" s="428"/>
    </row>
    <row r="538" spans="1:10" ht="25.5">
      <c r="A538" s="87" t="s">
        <v>344</v>
      </c>
      <c r="B538" s="360">
        <v>191</v>
      </c>
      <c r="C538" s="360">
        <v>191</v>
      </c>
      <c r="D538" s="360">
        <f>C538-B538</f>
        <v>0</v>
      </c>
      <c r="E538" s="356">
        <f>C538/B538</f>
        <v>1</v>
      </c>
      <c r="F538" s="76"/>
      <c r="G538" s="76"/>
      <c r="H538" s="58"/>
      <c r="I538" s="58"/>
      <c r="J538" s="428"/>
    </row>
    <row r="539" spans="1:10" ht="114.75">
      <c r="A539" s="87" t="s">
        <v>102</v>
      </c>
      <c r="B539" s="360"/>
      <c r="C539" s="360"/>
      <c r="D539" s="360"/>
      <c r="E539" s="356"/>
      <c r="F539" s="76">
        <v>40683503.73</v>
      </c>
      <c r="G539" s="76">
        <v>40683503.73</v>
      </c>
      <c r="H539" s="58">
        <f>G539/F539</f>
        <v>1</v>
      </c>
      <c r="I539" s="58"/>
      <c r="J539" s="428"/>
    </row>
    <row r="540" spans="1:10" ht="25.5">
      <c r="A540" s="87" t="s">
        <v>103</v>
      </c>
      <c r="B540" s="360">
        <v>9</v>
      </c>
      <c r="C540" s="360">
        <v>9</v>
      </c>
      <c r="D540" s="360">
        <f aca="true" t="shared" si="39" ref="D540:D552">C540-B540</f>
        <v>0</v>
      </c>
      <c r="E540" s="356">
        <f aca="true" t="shared" si="40" ref="E540:E552">C540/B540</f>
        <v>1</v>
      </c>
      <c r="F540" s="76"/>
      <c r="G540" s="76"/>
      <c r="H540" s="58"/>
      <c r="I540" s="58"/>
      <c r="J540" s="428"/>
    </row>
    <row r="541" spans="1:10" ht="25.5">
      <c r="A541" s="87" t="s">
        <v>104</v>
      </c>
      <c r="B541" s="360">
        <v>63.8</v>
      </c>
      <c r="C541" s="360">
        <v>63.8</v>
      </c>
      <c r="D541" s="360">
        <f t="shared" si="39"/>
        <v>0</v>
      </c>
      <c r="E541" s="356">
        <f t="shared" si="40"/>
        <v>1</v>
      </c>
      <c r="F541" s="76"/>
      <c r="G541" s="76"/>
      <c r="H541" s="58"/>
      <c r="I541" s="58"/>
      <c r="J541" s="428"/>
    </row>
    <row r="542" spans="1:10" ht="12.75">
      <c r="A542" s="87" t="s">
        <v>105</v>
      </c>
      <c r="B542" s="360">
        <v>1</v>
      </c>
      <c r="C542" s="360">
        <v>1</v>
      </c>
      <c r="D542" s="360">
        <f t="shared" si="39"/>
        <v>0</v>
      </c>
      <c r="E542" s="356">
        <f t="shared" si="40"/>
        <v>1</v>
      </c>
      <c r="F542" s="76"/>
      <c r="G542" s="76"/>
      <c r="H542" s="58"/>
      <c r="I542" s="58"/>
      <c r="J542" s="428"/>
    </row>
    <row r="543" spans="1:10" ht="25.5" customHeight="1">
      <c r="A543" s="87" t="s">
        <v>681</v>
      </c>
      <c r="B543" s="360">
        <v>102.957</v>
      </c>
      <c r="C543" s="360">
        <v>102.957</v>
      </c>
      <c r="D543" s="360">
        <f>C543-B543</f>
        <v>0</v>
      </c>
      <c r="E543" s="356">
        <f>C543/B543</f>
        <v>1</v>
      </c>
      <c r="F543" s="76"/>
      <c r="G543" s="76"/>
      <c r="H543" s="58"/>
      <c r="I543" s="58"/>
      <c r="J543" s="428"/>
    </row>
    <row r="544" spans="1:10" ht="25.5">
      <c r="A544" s="87" t="s">
        <v>56</v>
      </c>
      <c r="B544" s="360">
        <v>2466</v>
      </c>
      <c r="C544" s="360">
        <v>2466</v>
      </c>
      <c r="D544" s="360">
        <f t="shared" si="39"/>
        <v>0</v>
      </c>
      <c r="E544" s="356">
        <f t="shared" si="40"/>
        <v>1</v>
      </c>
      <c r="F544" s="76"/>
      <c r="G544" s="76"/>
      <c r="H544" s="58"/>
      <c r="I544" s="58"/>
      <c r="J544" s="428"/>
    </row>
    <row r="545" spans="1:10" ht="25.5">
      <c r="A545" s="87" t="s">
        <v>57</v>
      </c>
      <c r="B545" s="360">
        <v>8769</v>
      </c>
      <c r="C545" s="360">
        <v>8769</v>
      </c>
      <c r="D545" s="360">
        <f t="shared" si="39"/>
        <v>0</v>
      </c>
      <c r="E545" s="356">
        <f t="shared" si="40"/>
        <v>1</v>
      </c>
      <c r="F545" s="76"/>
      <c r="G545" s="76"/>
      <c r="H545" s="58"/>
      <c r="I545" s="58"/>
      <c r="J545" s="428"/>
    </row>
    <row r="546" spans="1:10" ht="12.75">
      <c r="A546" s="87" t="s">
        <v>35</v>
      </c>
      <c r="B546" s="360">
        <v>1</v>
      </c>
      <c r="C546" s="360">
        <v>1</v>
      </c>
      <c r="D546" s="360">
        <f t="shared" si="39"/>
        <v>0</v>
      </c>
      <c r="E546" s="356">
        <f t="shared" si="40"/>
        <v>1</v>
      </c>
      <c r="F546" s="76"/>
      <c r="G546" s="76"/>
      <c r="H546" s="58"/>
      <c r="I546" s="58"/>
      <c r="J546" s="428"/>
    </row>
    <row r="547" spans="1:10" ht="12.75">
      <c r="A547" s="87" t="s">
        <v>686</v>
      </c>
      <c r="B547" s="360">
        <v>163024</v>
      </c>
      <c r="C547" s="360">
        <v>163024</v>
      </c>
      <c r="D547" s="360">
        <f t="shared" si="39"/>
        <v>0</v>
      </c>
      <c r="E547" s="356">
        <f t="shared" si="40"/>
        <v>1</v>
      </c>
      <c r="F547" s="76"/>
      <c r="G547" s="76"/>
      <c r="H547" s="58"/>
      <c r="I547" s="58"/>
      <c r="J547" s="428"/>
    </row>
    <row r="548" spans="1:10" ht="25.5">
      <c r="A548" s="87" t="s">
        <v>36</v>
      </c>
      <c r="B548" s="360">
        <v>8171</v>
      </c>
      <c r="C548" s="360">
        <v>8171</v>
      </c>
      <c r="D548" s="360">
        <f t="shared" si="39"/>
        <v>0</v>
      </c>
      <c r="E548" s="356">
        <f t="shared" si="40"/>
        <v>1</v>
      </c>
      <c r="F548" s="76"/>
      <c r="G548" s="76"/>
      <c r="H548" s="58"/>
      <c r="I548" s="58"/>
      <c r="J548" s="428"/>
    </row>
    <row r="549" spans="1:10" ht="25.5">
      <c r="A549" s="87" t="s">
        <v>687</v>
      </c>
      <c r="B549" s="360">
        <v>736</v>
      </c>
      <c r="C549" s="360">
        <v>736</v>
      </c>
      <c r="D549" s="360">
        <f t="shared" si="39"/>
        <v>0</v>
      </c>
      <c r="E549" s="356">
        <f t="shared" si="40"/>
        <v>1</v>
      </c>
      <c r="F549" s="76"/>
      <c r="G549" s="76"/>
      <c r="H549" s="58"/>
      <c r="I549" s="58"/>
      <c r="J549" s="428"/>
    </row>
    <row r="550" spans="1:10" ht="25.5">
      <c r="A550" s="87" t="s">
        <v>132</v>
      </c>
      <c r="B550" s="360">
        <v>2</v>
      </c>
      <c r="C550" s="360">
        <v>2</v>
      </c>
      <c r="D550" s="360">
        <f t="shared" si="39"/>
        <v>0</v>
      </c>
      <c r="E550" s="356">
        <f t="shared" si="40"/>
        <v>1</v>
      </c>
      <c r="F550" s="76"/>
      <c r="G550" s="76"/>
      <c r="H550" s="58"/>
      <c r="I550" s="58"/>
      <c r="J550" s="428"/>
    </row>
    <row r="551" spans="1:10" ht="51">
      <c r="A551" s="87" t="s">
        <v>106</v>
      </c>
      <c r="B551" s="360">
        <v>67987</v>
      </c>
      <c r="C551" s="360">
        <v>67987</v>
      </c>
      <c r="D551" s="360">
        <f>C551-B551</f>
        <v>0</v>
      </c>
      <c r="E551" s="356">
        <f>C551/B551</f>
        <v>1</v>
      </c>
      <c r="F551" s="76"/>
      <c r="G551" s="76"/>
      <c r="H551" s="58"/>
      <c r="I551" s="58"/>
      <c r="J551" s="428"/>
    </row>
    <row r="552" spans="1:10" ht="25.5">
      <c r="A552" s="87" t="s">
        <v>37</v>
      </c>
      <c r="B552" s="360">
        <v>104</v>
      </c>
      <c r="C552" s="360">
        <v>104</v>
      </c>
      <c r="D552" s="360">
        <f t="shared" si="39"/>
        <v>0</v>
      </c>
      <c r="E552" s="356">
        <f t="shared" si="40"/>
        <v>1</v>
      </c>
      <c r="F552" s="76"/>
      <c r="G552" s="76"/>
      <c r="H552" s="58"/>
      <c r="I552" s="58"/>
      <c r="J552" s="428"/>
    </row>
    <row r="553" spans="1:10" ht="40.5" customHeight="1">
      <c r="A553" s="87" t="s">
        <v>4</v>
      </c>
      <c r="B553" s="360"/>
      <c r="C553" s="360"/>
      <c r="D553" s="360"/>
      <c r="E553" s="356"/>
      <c r="F553" s="76">
        <v>5157894.66</v>
      </c>
      <c r="G553" s="76">
        <v>4846356.53</v>
      </c>
      <c r="H553" s="58">
        <f>G553/F553</f>
        <v>0.939599749406282</v>
      </c>
      <c r="I553" s="58"/>
      <c r="J553" s="428" t="s">
        <v>666</v>
      </c>
    </row>
    <row r="554" spans="1:10" ht="12.75">
      <c r="A554" s="87" t="s">
        <v>107</v>
      </c>
      <c r="B554" s="360">
        <v>2240</v>
      </c>
      <c r="C554" s="360">
        <v>2240</v>
      </c>
      <c r="D554" s="360">
        <f>C554-B554</f>
        <v>0</v>
      </c>
      <c r="E554" s="356">
        <f>C554/B554</f>
        <v>1</v>
      </c>
      <c r="F554" s="76"/>
      <c r="G554" s="76"/>
      <c r="H554" s="58"/>
      <c r="I554" s="58"/>
      <c r="J554" s="428"/>
    </row>
    <row r="555" spans="1:10" ht="12.75">
      <c r="A555" s="87" t="s">
        <v>108</v>
      </c>
      <c r="B555" s="360">
        <v>339</v>
      </c>
      <c r="C555" s="360">
        <v>339</v>
      </c>
      <c r="D555" s="360">
        <f>C555-B555</f>
        <v>0</v>
      </c>
      <c r="E555" s="356">
        <f>C555/B555</f>
        <v>1</v>
      </c>
      <c r="F555" s="76"/>
      <c r="G555" s="76"/>
      <c r="H555" s="58"/>
      <c r="I555" s="58"/>
      <c r="J555" s="428"/>
    </row>
    <row r="556" spans="1:10" ht="38.25">
      <c r="A556" s="87" t="s">
        <v>5</v>
      </c>
      <c r="B556" s="360"/>
      <c r="C556" s="360"/>
      <c r="D556" s="360"/>
      <c r="E556" s="356"/>
      <c r="F556" s="76">
        <v>1800000</v>
      </c>
      <c r="G556" s="76">
        <v>1800000</v>
      </c>
      <c r="H556" s="58">
        <f>G556/F556</f>
        <v>1</v>
      </c>
      <c r="I556" s="58"/>
      <c r="J556" s="428"/>
    </row>
    <row r="557" spans="1:10" ht="25.5">
      <c r="A557" s="87" t="s">
        <v>109</v>
      </c>
      <c r="B557" s="360">
        <v>3</v>
      </c>
      <c r="C557" s="360">
        <v>3</v>
      </c>
      <c r="D557" s="360">
        <f>C557-B557</f>
        <v>0</v>
      </c>
      <c r="E557" s="356">
        <f>C557/B557</f>
        <v>1</v>
      </c>
      <c r="F557" s="76"/>
      <c r="G557" s="76"/>
      <c r="H557" s="58"/>
      <c r="I557" s="58"/>
      <c r="J557" s="428"/>
    </row>
    <row r="558" spans="1:10" ht="25.5">
      <c r="A558" s="87" t="s">
        <v>6</v>
      </c>
      <c r="B558" s="360"/>
      <c r="C558" s="360"/>
      <c r="D558" s="360"/>
      <c r="E558" s="356"/>
      <c r="F558" s="76">
        <v>303944.31</v>
      </c>
      <c r="G558" s="76">
        <v>303944.31</v>
      </c>
      <c r="H558" s="58">
        <f>G558/F558</f>
        <v>1</v>
      </c>
      <c r="I558" s="58"/>
      <c r="J558" s="428"/>
    </row>
    <row r="559" spans="1:10" ht="25.5">
      <c r="A559" s="87" t="s">
        <v>110</v>
      </c>
      <c r="B559" s="360">
        <v>1</v>
      </c>
      <c r="C559" s="360">
        <v>1</v>
      </c>
      <c r="D559" s="360">
        <f>C559-B559</f>
        <v>0</v>
      </c>
      <c r="E559" s="356">
        <f>C559/B559</f>
        <v>1</v>
      </c>
      <c r="F559" s="76"/>
      <c r="G559" s="76"/>
      <c r="H559" s="58"/>
      <c r="I559" s="58"/>
      <c r="J559" s="428"/>
    </row>
    <row r="560" spans="1:10" ht="38.25" customHeight="1">
      <c r="A560" s="48" t="s">
        <v>133</v>
      </c>
      <c r="B560" s="327"/>
      <c r="C560" s="327"/>
      <c r="D560" s="327"/>
      <c r="E560" s="356"/>
      <c r="F560" s="76">
        <v>28098106.14</v>
      </c>
      <c r="G560" s="76">
        <v>27447128.69</v>
      </c>
      <c r="H560" s="58">
        <f>G560/F560</f>
        <v>0.9768319812461211</v>
      </c>
      <c r="I560" s="58"/>
      <c r="J560" s="428" t="s">
        <v>666</v>
      </c>
    </row>
    <row r="561" spans="1:10" ht="38.25">
      <c r="A561" s="48" t="s">
        <v>474</v>
      </c>
      <c r="B561" s="327">
        <v>100</v>
      </c>
      <c r="C561" s="327">
        <v>100</v>
      </c>
      <c r="D561" s="360">
        <f>C561-B561</f>
        <v>0</v>
      </c>
      <c r="E561" s="356">
        <f>C561/B561</f>
        <v>1</v>
      </c>
      <c r="F561" s="76"/>
      <c r="G561" s="76"/>
      <c r="H561" s="58"/>
      <c r="I561" s="58"/>
      <c r="J561" s="428"/>
    </row>
    <row r="562" spans="1:10" ht="12.75">
      <c r="A562" s="504" t="s">
        <v>7</v>
      </c>
      <c r="B562" s="76">
        <f>SUM(B527:B561)</f>
        <v>273650.657</v>
      </c>
      <c r="C562" s="76">
        <f>SUM(C527:C561)</f>
        <v>273650.657</v>
      </c>
      <c r="D562" s="76">
        <f>C562-B562</f>
        <v>0</v>
      </c>
      <c r="E562" s="58">
        <f>C562/B562</f>
        <v>1</v>
      </c>
      <c r="F562" s="76">
        <f>SUM(F527:F561)</f>
        <v>134579292.99</v>
      </c>
      <c r="G562" s="76">
        <f>SUM(G527:G561)</f>
        <v>133543575.75</v>
      </c>
      <c r="H562" s="58">
        <f>(H527+H532+H534+H539+H553+H556+H558+H560)/8</f>
        <v>0.9892130907122659</v>
      </c>
      <c r="I562" s="58">
        <f>E562/H562</f>
        <v>1.0109045355232482</v>
      </c>
      <c r="J562" s="429"/>
    </row>
    <row r="563" spans="1:10" ht="12.75">
      <c r="A563" s="157" t="s">
        <v>111</v>
      </c>
      <c r="B563" s="169">
        <f>B520+B526+B562</f>
        <v>1528574.6500000004</v>
      </c>
      <c r="C563" s="169">
        <f>C520+C526+C562</f>
        <v>1528574.6500000004</v>
      </c>
      <c r="D563" s="169">
        <f>C563-B563</f>
        <v>0</v>
      </c>
      <c r="E563" s="371">
        <f>C563/B563</f>
        <v>1</v>
      </c>
      <c r="F563" s="169">
        <f>F520+F526+F562</f>
        <v>251484612.56</v>
      </c>
      <c r="G563" s="169">
        <f>G520+G526+G562</f>
        <v>249404053.68</v>
      </c>
      <c r="H563" s="371">
        <f>(H520+H526+H562)/3</f>
        <v>0.9913655288739799</v>
      </c>
      <c r="I563" s="371">
        <f>(I520+I562)/2</f>
        <v>1.0131265277898946</v>
      </c>
      <c r="J563" s="431"/>
    </row>
    <row r="564" spans="1:10" ht="25.5">
      <c r="A564" s="208" t="s">
        <v>72</v>
      </c>
      <c r="B564" s="76"/>
      <c r="C564" s="76"/>
      <c r="D564" s="76"/>
      <c r="E564" s="76"/>
      <c r="F564" s="77">
        <f>F563/F885</f>
        <v>0.0991897839557138</v>
      </c>
      <c r="G564" s="77">
        <f>G563/G885</f>
        <v>0.09942359302825277</v>
      </c>
      <c r="H564" s="76"/>
      <c r="I564" s="76"/>
      <c r="J564" s="429"/>
    </row>
    <row r="565" spans="1:10" ht="18.75" customHeight="1">
      <c r="A565" s="559" t="s">
        <v>473</v>
      </c>
      <c r="B565" s="559"/>
      <c r="C565" s="559"/>
      <c r="D565" s="559"/>
      <c r="E565" s="559"/>
      <c r="F565" s="559"/>
      <c r="G565" s="559"/>
      <c r="H565" s="559"/>
      <c r="I565" s="559"/>
      <c r="J565" s="559"/>
    </row>
    <row r="566" spans="1:10" ht="51" customHeight="1">
      <c r="A566" s="185" t="s">
        <v>331</v>
      </c>
      <c r="B566" s="44"/>
      <c r="C566" s="44"/>
      <c r="D566" s="41"/>
      <c r="E566" s="42"/>
      <c r="F566" s="35">
        <v>10718648.77</v>
      </c>
      <c r="G566" s="35">
        <v>10528763.61</v>
      </c>
      <c r="H566" s="45">
        <f>G566/F566</f>
        <v>0.982284599106236</v>
      </c>
      <c r="I566" s="42"/>
      <c r="J566" s="400" t="s">
        <v>229</v>
      </c>
    </row>
    <row r="567" spans="1:10" ht="63.75">
      <c r="A567" s="185" t="s">
        <v>332</v>
      </c>
      <c r="B567" s="40" t="s">
        <v>333</v>
      </c>
      <c r="C567" s="35">
        <v>0.1</v>
      </c>
      <c r="D567" s="41"/>
      <c r="E567" s="36">
        <v>1</v>
      </c>
      <c r="F567" s="41"/>
      <c r="G567" s="41"/>
      <c r="H567" s="42"/>
      <c r="I567" s="42"/>
      <c r="J567" s="189"/>
    </row>
    <row r="568" spans="1:10" ht="38.25">
      <c r="A568" s="106" t="s">
        <v>334</v>
      </c>
      <c r="B568" s="29" t="s">
        <v>639</v>
      </c>
      <c r="C568" s="43">
        <v>99.7</v>
      </c>
      <c r="D568" s="41"/>
      <c r="E568" s="36">
        <v>1</v>
      </c>
      <c r="F568" s="41"/>
      <c r="G568" s="41"/>
      <c r="H568" s="42"/>
      <c r="I568" s="42"/>
      <c r="J568" s="189"/>
    </row>
    <row r="569" spans="1:10" ht="51">
      <c r="A569" s="106" t="s">
        <v>134</v>
      </c>
      <c r="B569" s="40" t="s">
        <v>135</v>
      </c>
      <c r="C569" s="43" t="s">
        <v>135</v>
      </c>
      <c r="D569" s="41"/>
      <c r="E569" s="36">
        <v>1</v>
      </c>
      <c r="F569" s="41"/>
      <c r="G569" s="41"/>
      <c r="H569" s="42"/>
      <c r="I569" s="42"/>
      <c r="J569" s="189"/>
    </row>
    <row r="570" spans="1:10" ht="53.25" customHeight="1">
      <c r="A570" s="106" t="s">
        <v>9</v>
      </c>
      <c r="B570" s="29" t="s">
        <v>8</v>
      </c>
      <c r="C570" s="43">
        <v>93.6</v>
      </c>
      <c r="D570" s="41"/>
      <c r="E570" s="36">
        <v>1</v>
      </c>
      <c r="F570" s="41"/>
      <c r="G570" s="41"/>
      <c r="H570" s="42"/>
      <c r="I570" s="42"/>
      <c r="J570" s="189"/>
    </row>
    <row r="571" spans="1:10" ht="51">
      <c r="A571" s="106" t="s">
        <v>11</v>
      </c>
      <c r="B571" s="40" t="s">
        <v>10</v>
      </c>
      <c r="C571" s="43">
        <v>57</v>
      </c>
      <c r="D571" s="41"/>
      <c r="E571" s="36">
        <v>1</v>
      </c>
      <c r="F571" s="41"/>
      <c r="G571" s="41"/>
      <c r="H571" s="42"/>
      <c r="I571" s="42"/>
      <c r="J571" s="189"/>
    </row>
    <row r="572" spans="1:10" ht="63.75">
      <c r="A572" s="106" t="s">
        <v>610</v>
      </c>
      <c r="B572" s="40" t="s">
        <v>135</v>
      </c>
      <c r="C572" s="43" t="s">
        <v>135</v>
      </c>
      <c r="D572" s="41"/>
      <c r="E572" s="36">
        <v>1</v>
      </c>
      <c r="F572" s="41"/>
      <c r="G572" s="41"/>
      <c r="H572" s="42"/>
      <c r="I572" s="42"/>
      <c r="J572" s="189"/>
    </row>
    <row r="573" spans="1:10" ht="25.5">
      <c r="A573" s="106" t="s">
        <v>611</v>
      </c>
      <c r="B573" s="40" t="s">
        <v>612</v>
      </c>
      <c r="C573" s="43" t="s">
        <v>612</v>
      </c>
      <c r="D573" s="41"/>
      <c r="E573" s="36">
        <v>1</v>
      </c>
      <c r="F573" s="41"/>
      <c r="G573" s="41"/>
      <c r="H573" s="42"/>
      <c r="I573" s="42"/>
      <c r="J573" s="189"/>
    </row>
    <row r="574" spans="1:10" ht="25.5">
      <c r="A574" s="106" t="s">
        <v>46</v>
      </c>
      <c r="B574" s="40" t="s">
        <v>47</v>
      </c>
      <c r="C574" s="43">
        <v>99</v>
      </c>
      <c r="D574" s="41"/>
      <c r="E574" s="36">
        <v>1</v>
      </c>
      <c r="F574" s="41"/>
      <c r="G574" s="41"/>
      <c r="H574" s="42"/>
      <c r="I574" s="42"/>
      <c r="J574" s="189"/>
    </row>
    <row r="575" spans="1:10" ht="89.25">
      <c r="A575" s="106" t="s">
        <v>432</v>
      </c>
      <c r="B575" s="40" t="s">
        <v>135</v>
      </c>
      <c r="C575" s="43" t="s">
        <v>135</v>
      </c>
      <c r="D575" s="41"/>
      <c r="E575" s="36">
        <v>1</v>
      </c>
      <c r="F575" s="41"/>
      <c r="G575" s="41"/>
      <c r="H575" s="42"/>
      <c r="I575" s="42"/>
      <c r="J575" s="189"/>
    </row>
    <row r="576" spans="1:10" ht="63.75">
      <c r="A576" s="106" t="s">
        <v>49</v>
      </c>
      <c r="B576" s="40" t="s">
        <v>48</v>
      </c>
      <c r="C576" s="43" t="s">
        <v>746</v>
      </c>
      <c r="D576" s="41"/>
      <c r="E576" s="36">
        <v>1</v>
      </c>
      <c r="F576" s="41"/>
      <c r="G576" s="41"/>
      <c r="H576" s="42"/>
      <c r="I576" s="42"/>
      <c r="J576" s="189"/>
    </row>
    <row r="577" spans="1:10" ht="63.75">
      <c r="A577" s="106" t="s">
        <v>433</v>
      </c>
      <c r="B577" s="40" t="s">
        <v>135</v>
      </c>
      <c r="C577" s="43" t="s">
        <v>434</v>
      </c>
      <c r="D577" s="41"/>
      <c r="E577" s="36">
        <v>1</v>
      </c>
      <c r="F577" s="41"/>
      <c r="G577" s="41"/>
      <c r="H577" s="42"/>
      <c r="I577" s="42"/>
      <c r="J577" s="189"/>
    </row>
    <row r="578" spans="1:10" ht="87.75" customHeight="1">
      <c r="A578" s="106" t="s">
        <v>50</v>
      </c>
      <c r="B578" s="40"/>
      <c r="C578" s="43"/>
      <c r="D578" s="41"/>
      <c r="E578" s="36"/>
      <c r="F578" s="35">
        <v>4190399.05</v>
      </c>
      <c r="G578" s="35">
        <v>665842.73</v>
      </c>
      <c r="H578" s="36">
        <f>G578/F578</f>
        <v>0.15889721290386413</v>
      </c>
      <c r="I578" s="42"/>
      <c r="J578" s="189" t="s">
        <v>626</v>
      </c>
    </row>
    <row r="579" spans="1:10" ht="51">
      <c r="A579" s="106" t="s">
        <v>51</v>
      </c>
      <c r="B579" s="40" t="s">
        <v>52</v>
      </c>
      <c r="C579" s="35">
        <v>0.02</v>
      </c>
      <c r="D579" s="41"/>
      <c r="E579" s="36">
        <v>1</v>
      </c>
      <c r="F579" s="41"/>
      <c r="G579" s="41"/>
      <c r="H579" s="42"/>
      <c r="I579" s="42"/>
      <c r="J579" s="189"/>
    </row>
    <row r="580" spans="1:10" ht="38.25">
      <c r="A580" s="106" t="s">
        <v>435</v>
      </c>
      <c r="B580" s="40" t="s">
        <v>612</v>
      </c>
      <c r="C580" s="35" t="s">
        <v>612</v>
      </c>
      <c r="D580" s="41"/>
      <c r="E580" s="36">
        <v>1</v>
      </c>
      <c r="F580" s="41"/>
      <c r="G580" s="41"/>
      <c r="H580" s="42"/>
      <c r="I580" s="42"/>
      <c r="J580" s="189"/>
    </row>
    <row r="581" spans="1:10" ht="76.5">
      <c r="A581" s="106" t="s">
        <v>53</v>
      </c>
      <c r="B581" s="40" t="s">
        <v>54</v>
      </c>
      <c r="C581" s="43">
        <v>20.61</v>
      </c>
      <c r="D581" s="41"/>
      <c r="E581" s="36">
        <v>1</v>
      </c>
      <c r="F581" s="41"/>
      <c r="G581" s="41"/>
      <c r="H581" s="42"/>
      <c r="I581" s="42"/>
      <c r="J581" s="189"/>
    </row>
    <row r="582" spans="1:10" ht="12.75">
      <c r="A582" s="143" t="s">
        <v>320</v>
      </c>
      <c r="B582" s="283"/>
      <c r="C582" s="283"/>
      <c r="D582" s="284"/>
      <c r="E582" s="285">
        <v>1</v>
      </c>
      <c r="F582" s="284">
        <f>F566+F578</f>
        <v>14909047.82</v>
      </c>
      <c r="G582" s="284">
        <f>G566+G578</f>
        <v>11194606.34</v>
      </c>
      <c r="H582" s="285">
        <f>G582/F582</f>
        <v>0.7508599123937882</v>
      </c>
      <c r="I582" s="285">
        <f>E582/H582</f>
        <v>1.331806350950256</v>
      </c>
      <c r="J582" s="432"/>
    </row>
    <row r="583" spans="1:10" ht="25.5">
      <c r="A583" s="208" t="s">
        <v>72</v>
      </c>
      <c r="B583" s="76"/>
      <c r="C583" s="76"/>
      <c r="D583" s="76"/>
      <c r="E583" s="76"/>
      <c r="F583" s="36">
        <f>F582/F885</f>
        <v>0.00588038058152915</v>
      </c>
      <c r="G583" s="36">
        <f>G582/G885</f>
        <v>0.004462669986461858</v>
      </c>
      <c r="H583" s="76"/>
      <c r="I583" s="76"/>
      <c r="J583" s="422"/>
    </row>
    <row r="584" spans="1:10" ht="27.75" customHeight="1">
      <c r="A584" s="559" t="s">
        <v>137</v>
      </c>
      <c r="B584" s="559"/>
      <c r="C584" s="559"/>
      <c r="D584" s="559"/>
      <c r="E584" s="559"/>
      <c r="F584" s="559"/>
      <c r="G584" s="559"/>
      <c r="H584" s="559"/>
      <c r="I584" s="559"/>
      <c r="J584" s="559"/>
    </row>
    <row r="585" spans="1:10" ht="39" customHeight="1">
      <c r="A585" s="61" t="s">
        <v>161</v>
      </c>
      <c r="B585" s="197"/>
      <c r="C585" s="197"/>
      <c r="D585" s="198"/>
      <c r="E585" s="173"/>
      <c r="F585" s="62">
        <v>183600</v>
      </c>
      <c r="G585" s="62">
        <v>183600</v>
      </c>
      <c r="H585" s="173">
        <f>G585/F585</f>
        <v>1</v>
      </c>
      <c r="I585" s="173"/>
      <c r="J585" s="60"/>
    </row>
    <row r="586" spans="1:10" ht="26.25" customHeight="1">
      <c r="A586" s="133" t="s">
        <v>55</v>
      </c>
      <c r="B586" s="197">
        <v>1</v>
      </c>
      <c r="C586" s="197">
        <v>1</v>
      </c>
      <c r="D586" s="198">
        <f>C586-B586</f>
        <v>0</v>
      </c>
      <c r="E586" s="197">
        <f>C586/B586</f>
        <v>1</v>
      </c>
      <c r="F586" s="199">
        <v>97800</v>
      </c>
      <c r="G586" s="199">
        <v>97800</v>
      </c>
      <c r="H586" s="173">
        <f>G586/F586</f>
        <v>1</v>
      </c>
      <c r="I586" s="173"/>
      <c r="J586" s="59"/>
    </row>
    <row r="587" spans="1:10" ht="54" customHeight="1">
      <c r="A587" s="133" t="s">
        <v>170</v>
      </c>
      <c r="B587" s="197">
        <v>1</v>
      </c>
      <c r="C587" s="197">
        <v>1</v>
      </c>
      <c r="D587" s="198">
        <f>C587-B587</f>
        <v>0</v>
      </c>
      <c r="E587" s="197">
        <f>C587/B587</f>
        <v>1</v>
      </c>
      <c r="F587" s="199">
        <v>86000</v>
      </c>
      <c r="G587" s="199">
        <v>86000</v>
      </c>
      <c r="H587" s="173">
        <f>G587/F587</f>
        <v>1</v>
      </c>
      <c r="I587" s="173"/>
      <c r="J587" s="59"/>
    </row>
    <row r="588" spans="1:10" ht="30.75" customHeight="1">
      <c r="A588" s="133" t="s">
        <v>139</v>
      </c>
      <c r="B588" s="64">
        <v>51577</v>
      </c>
      <c r="C588" s="64">
        <v>42099.963</v>
      </c>
      <c r="D588" s="300">
        <f>C588-B588</f>
        <v>-9477.036999999997</v>
      </c>
      <c r="E588" s="67">
        <f>B588/C588</f>
        <v>1.2251079650592567</v>
      </c>
      <c r="F588" s="196"/>
      <c r="G588" s="196"/>
      <c r="H588" s="173"/>
      <c r="I588" s="173"/>
      <c r="J588" s="555" t="s">
        <v>169</v>
      </c>
    </row>
    <row r="589" spans="1:10" ht="25.5" customHeight="1">
      <c r="A589" s="133" t="s">
        <v>140</v>
      </c>
      <c r="B589" s="64">
        <v>8937005</v>
      </c>
      <c r="C589" s="64">
        <v>7268524</v>
      </c>
      <c r="D589" s="300">
        <f aca="true" t="shared" si="41" ref="D589:D599">C589-B589</f>
        <v>-1668481</v>
      </c>
      <c r="E589" s="67">
        <f>B589/C589</f>
        <v>1.2295488052319838</v>
      </c>
      <c r="F589" s="196"/>
      <c r="G589" s="196"/>
      <c r="H589" s="173"/>
      <c r="I589" s="173"/>
      <c r="J589" s="555"/>
    </row>
    <row r="590" spans="1:10" ht="30.75" customHeight="1">
      <c r="A590" s="133" t="s">
        <v>141</v>
      </c>
      <c r="B590" s="64">
        <v>143737</v>
      </c>
      <c r="C590" s="64">
        <v>92340.115</v>
      </c>
      <c r="D590" s="300">
        <f t="shared" si="41"/>
        <v>-51396.884999999995</v>
      </c>
      <c r="E590" s="67">
        <f>B590/C590</f>
        <v>1.556604082635158</v>
      </c>
      <c r="F590" s="196"/>
      <c r="G590" s="196"/>
      <c r="H590" s="196"/>
      <c r="I590" s="196"/>
      <c r="J590" s="555"/>
    </row>
    <row r="591" spans="1:10" ht="24.75" customHeight="1">
      <c r="A591" s="133" t="s">
        <v>142</v>
      </c>
      <c r="B591" s="64">
        <v>73036</v>
      </c>
      <c r="C591" s="64">
        <v>57768.902</v>
      </c>
      <c r="D591" s="300">
        <f>C591-B591</f>
        <v>-15267.097999999998</v>
      </c>
      <c r="E591" s="67">
        <f>B591/C591</f>
        <v>1.2642788329264074</v>
      </c>
      <c r="F591" s="196"/>
      <c r="G591" s="196"/>
      <c r="H591" s="196"/>
      <c r="I591" s="196"/>
      <c r="J591" s="555"/>
    </row>
    <row r="592" spans="1:10" ht="24.75" customHeight="1">
      <c r="A592" s="133" t="s">
        <v>143</v>
      </c>
      <c r="B592" s="507">
        <v>0.236</v>
      </c>
      <c r="C592" s="64">
        <v>0.19</v>
      </c>
      <c r="D592" s="64">
        <f t="shared" si="41"/>
        <v>-0.045999999999999985</v>
      </c>
      <c r="E592" s="67">
        <f aca="true" t="shared" si="42" ref="E592:E599">C592/B592</f>
        <v>0.8050847457627119</v>
      </c>
      <c r="F592" s="196"/>
      <c r="G592" s="196"/>
      <c r="H592" s="201"/>
      <c r="I592" s="196"/>
      <c r="J592" s="555"/>
    </row>
    <row r="593" spans="1:10" ht="24.75" customHeight="1">
      <c r="A593" s="133" t="s">
        <v>144</v>
      </c>
      <c r="B593" s="507">
        <v>173.21</v>
      </c>
      <c r="C593" s="64">
        <v>139.59</v>
      </c>
      <c r="D593" s="64">
        <f t="shared" si="41"/>
        <v>-33.620000000000005</v>
      </c>
      <c r="E593" s="67">
        <f t="shared" si="42"/>
        <v>0.805900352173662</v>
      </c>
      <c r="F593" s="196"/>
      <c r="G593" s="196"/>
      <c r="H593" s="201"/>
      <c r="I593" s="196"/>
      <c r="J593" s="555"/>
    </row>
    <row r="594" spans="1:10" ht="24.75" customHeight="1">
      <c r="A594" s="133" t="s">
        <v>145</v>
      </c>
      <c r="B594" s="64">
        <v>40.96</v>
      </c>
      <c r="C594" s="64">
        <v>32.788</v>
      </c>
      <c r="D594" s="64">
        <f t="shared" si="41"/>
        <v>-8.172000000000004</v>
      </c>
      <c r="E594" s="67">
        <f t="shared" si="42"/>
        <v>0.8004882812499999</v>
      </c>
      <c r="F594" s="196"/>
      <c r="G594" s="196"/>
      <c r="H594" s="201"/>
      <c r="I594" s="196"/>
      <c r="J594" s="555"/>
    </row>
    <row r="595" spans="1:10" ht="24.75" customHeight="1">
      <c r="A595" s="133" t="s">
        <v>146</v>
      </c>
      <c r="B595" s="64">
        <v>2.79</v>
      </c>
      <c r="C595" s="64">
        <v>1.77</v>
      </c>
      <c r="D595" s="64">
        <f t="shared" si="41"/>
        <v>-1.02</v>
      </c>
      <c r="E595" s="67">
        <f t="shared" si="42"/>
        <v>0.6344086021505376</v>
      </c>
      <c r="F595" s="196"/>
      <c r="G595" s="196"/>
      <c r="H595" s="201"/>
      <c r="I595" s="196"/>
      <c r="J595" s="555"/>
    </row>
    <row r="596" spans="1:10" ht="24.75" customHeight="1">
      <c r="A596" s="133" t="s">
        <v>147</v>
      </c>
      <c r="B596" s="64">
        <v>1.415</v>
      </c>
      <c r="C596" s="64">
        <v>1.11</v>
      </c>
      <c r="D596" s="64">
        <f t="shared" si="41"/>
        <v>-0.30499999999999994</v>
      </c>
      <c r="E596" s="67">
        <f t="shared" si="42"/>
        <v>0.784452296819788</v>
      </c>
      <c r="F596" s="196"/>
      <c r="G596" s="196"/>
      <c r="H596" s="201"/>
      <c r="I596" s="196"/>
      <c r="J596" s="555"/>
    </row>
    <row r="597" spans="1:10" ht="38.25">
      <c r="A597" s="133" t="s">
        <v>148</v>
      </c>
      <c r="B597" s="202">
        <v>100</v>
      </c>
      <c r="C597" s="202">
        <v>100</v>
      </c>
      <c r="D597" s="200">
        <f t="shared" si="41"/>
        <v>0</v>
      </c>
      <c r="E597" s="201">
        <f t="shared" si="42"/>
        <v>1</v>
      </c>
      <c r="F597" s="196"/>
      <c r="G597" s="196"/>
      <c r="H597" s="201"/>
      <c r="I597" s="196"/>
      <c r="J597" s="433"/>
    </row>
    <row r="598" spans="1:10" ht="63.75">
      <c r="A598" s="133" t="s">
        <v>149</v>
      </c>
      <c r="B598" s="202">
        <v>100</v>
      </c>
      <c r="C598" s="202">
        <v>100</v>
      </c>
      <c r="D598" s="200">
        <f t="shared" si="41"/>
        <v>0</v>
      </c>
      <c r="E598" s="201">
        <f t="shared" si="42"/>
        <v>1</v>
      </c>
      <c r="F598" s="196"/>
      <c r="G598" s="196"/>
      <c r="H598" s="201"/>
      <c r="I598" s="196"/>
      <c r="J598" s="433"/>
    </row>
    <row r="599" spans="1:10" ht="63.75">
      <c r="A599" s="133" t="s">
        <v>150</v>
      </c>
      <c r="B599" s="197">
        <v>100</v>
      </c>
      <c r="C599" s="197">
        <v>100</v>
      </c>
      <c r="D599" s="200">
        <f t="shared" si="41"/>
        <v>0</v>
      </c>
      <c r="E599" s="201">
        <f t="shared" si="42"/>
        <v>1</v>
      </c>
      <c r="F599" s="196"/>
      <c r="G599" s="196"/>
      <c r="H599" s="201"/>
      <c r="I599" s="196"/>
      <c r="J599" s="433"/>
    </row>
    <row r="600" spans="1:10" ht="12.75">
      <c r="A600" s="205" t="s">
        <v>162</v>
      </c>
      <c r="B600" s="197"/>
      <c r="C600" s="197"/>
      <c r="D600" s="200"/>
      <c r="E600" s="201"/>
      <c r="F600" s="196"/>
      <c r="G600" s="196"/>
      <c r="H600" s="201"/>
      <c r="I600" s="196"/>
      <c r="J600" s="433"/>
    </row>
    <row r="601" spans="1:10" ht="24.75" customHeight="1">
      <c r="A601" s="48" t="s">
        <v>163</v>
      </c>
      <c r="B601" s="64">
        <v>869.55</v>
      </c>
      <c r="C601" s="67">
        <v>909.7</v>
      </c>
      <c r="D601" s="203">
        <f>C601-B601</f>
        <v>40.15000000000009</v>
      </c>
      <c r="E601" s="204">
        <f>C601/B601</f>
        <v>1.0461733080328908</v>
      </c>
      <c r="F601" s="196"/>
      <c r="G601" s="196"/>
      <c r="H601" s="201"/>
      <c r="I601" s="196"/>
      <c r="J601" s="433"/>
    </row>
    <row r="602" spans="1:10" ht="24.75" customHeight="1">
      <c r="A602" s="48" t="s">
        <v>164</v>
      </c>
      <c r="B602" s="64">
        <v>0.22</v>
      </c>
      <c r="C602" s="67">
        <v>0.237</v>
      </c>
      <c r="D602" s="203">
        <f>C602-B602</f>
        <v>0.016999999999999987</v>
      </c>
      <c r="E602" s="204">
        <f>C602/B602</f>
        <v>1.0772727272727272</v>
      </c>
      <c r="F602" s="196"/>
      <c r="G602" s="196"/>
      <c r="H602" s="201"/>
      <c r="I602" s="196"/>
      <c r="J602" s="433"/>
    </row>
    <row r="603" spans="1:10" ht="24.75" customHeight="1">
      <c r="A603" s="48" t="s">
        <v>165</v>
      </c>
      <c r="B603" s="64">
        <v>37.3</v>
      </c>
      <c r="C603" s="67">
        <v>39.95</v>
      </c>
      <c r="D603" s="203">
        <f>C603-B603</f>
        <v>2.6500000000000057</v>
      </c>
      <c r="E603" s="204">
        <f>C603/B603</f>
        <v>1.0710455764075069</v>
      </c>
      <c r="F603" s="196"/>
      <c r="G603" s="196"/>
      <c r="H603" s="201"/>
      <c r="I603" s="196"/>
      <c r="J603" s="433"/>
    </row>
    <row r="604" spans="1:10" ht="24.75" customHeight="1">
      <c r="A604" s="48" t="s">
        <v>166</v>
      </c>
      <c r="B604" s="64">
        <v>28.1</v>
      </c>
      <c r="C604" s="67">
        <v>27.62</v>
      </c>
      <c r="D604" s="203">
        <f>C604-B604</f>
        <v>-0.4800000000000004</v>
      </c>
      <c r="E604" s="204">
        <f>C604/B604</f>
        <v>0.9829181494661922</v>
      </c>
      <c r="F604" s="196"/>
      <c r="G604" s="196"/>
      <c r="H604" s="201"/>
      <c r="I604" s="196"/>
      <c r="J604" s="433"/>
    </row>
    <row r="605" spans="1:10" ht="24.75" customHeight="1">
      <c r="A605" s="48" t="s">
        <v>167</v>
      </c>
      <c r="B605" s="64">
        <v>136.61</v>
      </c>
      <c r="C605" s="67">
        <v>146.64</v>
      </c>
      <c r="D605" s="203">
        <f>C605-B605</f>
        <v>10.029999999999973</v>
      </c>
      <c r="E605" s="204">
        <f>C605/B605</f>
        <v>1.073420686626162</v>
      </c>
      <c r="F605" s="196"/>
      <c r="G605" s="196"/>
      <c r="H605" s="201"/>
      <c r="I605" s="196"/>
      <c r="J605" s="433"/>
    </row>
    <row r="606" spans="1:10" ht="24.75" customHeight="1">
      <c r="A606" s="205" t="s">
        <v>168</v>
      </c>
      <c r="B606" s="197"/>
      <c r="C606" s="67"/>
      <c r="D606" s="203"/>
      <c r="E606" s="204"/>
      <c r="F606" s="196"/>
      <c r="G606" s="196"/>
      <c r="H606" s="201"/>
      <c r="I606" s="196"/>
      <c r="J606" s="433"/>
    </row>
    <row r="607" spans="1:10" ht="38.25">
      <c r="A607" s="133" t="s">
        <v>151</v>
      </c>
      <c r="B607" s="67">
        <v>24.53</v>
      </c>
      <c r="C607" s="67">
        <v>18.37</v>
      </c>
      <c r="D607" s="203">
        <f>C607-B607</f>
        <v>-6.16</v>
      </c>
      <c r="E607" s="204">
        <f>C607/B607</f>
        <v>0.7488789237668162</v>
      </c>
      <c r="F607" s="196"/>
      <c r="G607" s="196"/>
      <c r="H607" s="201"/>
      <c r="I607" s="196"/>
      <c r="J607" s="433"/>
    </row>
    <row r="608" spans="1:10" ht="25.5">
      <c r="A608" s="133" t="s">
        <v>706</v>
      </c>
      <c r="B608" s="67">
        <v>1853.188</v>
      </c>
      <c r="C608" s="67">
        <v>1756.68</v>
      </c>
      <c r="D608" s="203">
        <f>C608-B608</f>
        <v>-96.50800000000004</v>
      </c>
      <c r="E608" s="204">
        <f>C608/B608</f>
        <v>0.9479232544134756</v>
      </c>
      <c r="F608" s="196"/>
      <c r="G608" s="196"/>
      <c r="H608" s="201"/>
      <c r="I608" s="196"/>
      <c r="J608" s="433"/>
    </row>
    <row r="609" spans="1:10" ht="15" customHeight="1">
      <c r="A609" s="205" t="s">
        <v>707</v>
      </c>
      <c r="B609" s="197"/>
      <c r="C609" s="67"/>
      <c r="D609" s="203"/>
      <c r="E609" s="204"/>
      <c r="F609" s="196"/>
      <c r="G609" s="196"/>
      <c r="H609" s="201"/>
      <c r="I609" s="196"/>
      <c r="J609" s="433"/>
    </row>
    <row r="610" spans="1:10" ht="38.25">
      <c r="A610" s="133" t="s">
        <v>708</v>
      </c>
      <c r="B610" s="67">
        <v>1</v>
      </c>
      <c r="C610" s="67">
        <v>1</v>
      </c>
      <c r="D610" s="203">
        <f>C610-B610</f>
        <v>0</v>
      </c>
      <c r="E610" s="204">
        <f>C610/B610</f>
        <v>1</v>
      </c>
      <c r="F610" s="196"/>
      <c r="G610" s="196"/>
      <c r="H610" s="201"/>
      <c r="I610" s="196"/>
      <c r="J610" s="433"/>
    </row>
    <row r="611" spans="1:10" ht="27" customHeight="1">
      <c r="A611" s="133" t="s">
        <v>581</v>
      </c>
      <c r="B611" s="67">
        <v>1</v>
      </c>
      <c r="C611" s="67">
        <v>1</v>
      </c>
      <c r="D611" s="203">
        <f>C611-B611</f>
        <v>0</v>
      </c>
      <c r="E611" s="204">
        <f>C611/B611</f>
        <v>1</v>
      </c>
      <c r="F611" s="196"/>
      <c r="G611" s="196"/>
      <c r="H611" s="201"/>
      <c r="I611" s="196"/>
      <c r="J611" s="433"/>
    </row>
    <row r="612" spans="1:10" ht="12.75" customHeight="1">
      <c r="A612" s="140" t="s">
        <v>319</v>
      </c>
      <c r="B612" s="508">
        <f>SUM(B585:B611)</f>
        <v>9208827.109</v>
      </c>
      <c r="C612" s="508">
        <f>SUM(C585:C611)</f>
        <v>7464111.625</v>
      </c>
      <c r="D612" s="508">
        <f>C612-B612</f>
        <v>-1744715.4839999992</v>
      </c>
      <c r="E612" s="285">
        <f>SUM(E586:E611)/23</f>
        <v>1.0023263734780556</v>
      </c>
      <c r="F612" s="284">
        <f>SUM(F585:F587)</f>
        <v>367400</v>
      </c>
      <c r="G612" s="284">
        <f>SUM(G585:G611)</f>
        <v>367400</v>
      </c>
      <c r="H612" s="285">
        <f>(H585+H586+H587)/3</f>
        <v>1</v>
      </c>
      <c r="I612" s="285">
        <f>E612/H612</f>
        <v>1.0023263734780556</v>
      </c>
      <c r="J612" s="432"/>
    </row>
    <row r="613" spans="1:10" ht="28.5" customHeight="1">
      <c r="A613" s="106" t="s">
        <v>759</v>
      </c>
      <c r="B613" s="42"/>
      <c r="C613" s="42"/>
      <c r="D613" s="42"/>
      <c r="E613" s="42"/>
      <c r="F613" s="137">
        <f>F612/F885</f>
        <v>0.00014490877296373242</v>
      </c>
      <c r="G613" s="137">
        <f>G612/G885</f>
        <v>0.00014646204638457048</v>
      </c>
      <c r="H613" s="42"/>
      <c r="I613" s="42"/>
      <c r="J613" s="434"/>
    </row>
    <row r="614" spans="1:10" ht="28.5" customHeight="1">
      <c r="A614" s="540" t="s">
        <v>774</v>
      </c>
      <c r="B614" s="540"/>
      <c r="C614" s="540"/>
      <c r="D614" s="540"/>
      <c r="E614" s="540"/>
      <c r="F614" s="540"/>
      <c r="G614" s="540"/>
      <c r="H614" s="540"/>
      <c r="I614" s="540"/>
      <c r="J614" s="540"/>
    </row>
    <row r="615" spans="1:10" ht="28.5" customHeight="1">
      <c r="A615" s="364" t="s">
        <v>627</v>
      </c>
      <c r="B615" s="29"/>
      <c r="C615" s="29"/>
      <c r="D615" s="36"/>
      <c r="E615" s="36"/>
      <c r="F615" s="35">
        <v>132843</v>
      </c>
      <c r="G615" s="35">
        <v>132843</v>
      </c>
      <c r="H615" s="29"/>
      <c r="I615" s="29"/>
      <c r="J615" s="435"/>
    </row>
    <row r="616" spans="1:10" ht="28.5" customHeight="1">
      <c r="A616" s="364" t="s">
        <v>603</v>
      </c>
      <c r="B616" s="29">
        <v>14.86</v>
      </c>
      <c r="C616" s="29">
        <v>14.86</v>
      </c>
      <c r="D616" s="36">
        <f>C616-B616</f>
        <v>0</v>
      </c>
      <c r="E616" s="36">
        <f>C616/B616</f>
        <v>1</v>
      </c>
      <c r="F616" s="21"/>
      <c r="G616" s="21"/>
      <c r="H616" s="29"/>
      <c r="I616" s="29"/>
      <c r="J616" s="435"/>
    </row>
    <row r="617" spans="1:10" ht="19.5" customHeight="1">
      <c r="A617" s="140" t="s">
        <v>775</v>
      </c>
      <c r="B617" s="284">
        <f>B616</f>
        <v>14.86</v>
      </c>
      <c r="C617" s="284">
        <f>C616</f>
        <v>14.86</v>
      </c>
      <c r="D617" s="285">
        <f>C617-B617</f>
        <v>0</v>
      </c>
      <c r="E617" s="285">
        <f>C617/B617</f>
        <v>1</v>
      </c>
      <c r="F617" s="284">
        <f>F615</f>
        <v>132843</v>
      </c>
      <c r="G617" s="284">
        <f>G615</f>
        <v>132843</v>
      </c>
      <c r="H617" s="285">
        <f>G617/F617</f>
        <v>1</v>
      </c>
      <c r="I617" s="285">
        <f>E617/H617</f>
        <v>1</v>
      </c>
      <c r="J617" s="436"/>
    </row>
    <row r="618" spans="1:10" ht="25.5">
      <c r="A618" s="106" t="s">
        <v>759</v>
      </c>
      <c r="B618" s="44"/>
      <c r="C618" s="44"/>
      <c r="D618" s="41"/>
      <c r="E618" s="36"/>
      <c r="F618" s="137">
        <f>F617/F885</f>
        <v>5.239552565819571E-05</v>
      </c>
      <c r="G618" s="137">
        <f>G617/G885</f>
        <v>5.2957151953907175E-05</v>
      </c>
      <c r="H618" s="42"/>
      <c r="I618" s="42"/>
      <c r="J618" s="437"/>
    </row>
    <row r="619" spans="1:10" ht="12.75" customHeight="1">
      <c r="A619" s="544" t="s">
        <v>543</v>
      </c>
      <c r="B619" s="545"/>
      <c r="C619" s="545"/>
      <c r="D619" s="545"/>
      <c r="E619" s="545"/>
      <c r="F619" s="545"/>
      <c r="G619" s="545"/>
      <c r="H619" s="545"/>
      <c r="I619" s="545"/>
      <c r="J619" s="546"/>
    </row>
    <row r="620" spans="1:10" ht="76.5">
      <c r="A620" s="207" t="s">
        <v>223</v>
      </c>
      <c r="B620" s="62"/>
      <c r="C620" s="5"/>
      <c r="D620" s="62"/>
      <c r="E620" s="173"/>
      <c r="F620" s="509">
        <v>9325130.8</v>
      </c>
      <c r="G620" s="4">
        <v>9325130.8</v>
      </c>
      <c r="H620" s="173">
        <f>G620/F620</f>
        <v>1</v>
      </c>
      <c r="I620" s="173"/>
      <c r="J620" s="59"/>
    </row>
    <row r="621" spans="1:10" ht="38.25">
      <c r="A621" s="207" t="s">
        <v>224</v>
      </c>
      <c r="B621" s="30"/>
      <c r="C621" s="5"/>
      <c r="D621" s="62"/>
      <c r="E621" s="173"/>
      <c r="F621" s="63">
        <v>3577429</v>
      </c>
      <c r="G621" s="4">
        <v>3577429</v>
      </c>
      <c r="H621" s="173">
        <f>G621/F621</f>
        <v>1</v>
      </c>
      <c r="I621" s="173"/>
      <c r="J621" s="59"/>
    </row>
    <row r="622" spans="1:10" ht="25.5">
      <c r="A622" s="207" t="s">
        <v>114</v>
      </c>
      <c r="B622" s="30">
        <v>44</v>
      </c>
      <c r="C622" s="5">
        <v>44</v>
      </c>
      <c r="D622" s="62">
        <f aca="true" t="shared" si="43" ref="D622:D627">C622-B622</f>
        <v>0</v>
      </c>
      <c r="E622" s="173">
        <f aca="true" t="shared" si="44" ref="E622:E627">C622/B622</f>
        <v>1</v>
      </c>
      <c r="F622" s="63"/>
      <c r="G622" s="4"/>
      <c r="H622" s="173"/>
      <c r="I622" s="173"/>
      <c r="J622" s="59"/>
    </row>
    <row r="623" spans="1:10" ht="25.5">
      <c r="A623" s="207" t="s">
        <v>225</v>
      </c>
      <c r="B623" s="30">
        <v>33</v>
      </c>
      <c r="C623" s="5">
        <v>33</v>
      </c>
      <c r="D623" s="62">
        <f t="shared" si="43"/>
        <v>0</v>
      </c>
      <c r="E623" s="173">
        <f t="shared" si="44"/>
        <v>1</v>
      </c>
      <c r="F623" s="63"/>
      <c r="G623" s="4"/>
      <c r="H623" s="173"/>
      <c r="I623" s="173"/>
      <c r="J623" s="59"/>
    </row>
    <row r="624" spans="1:10" ht="63.75">
      <c r="A624" s="207" t="s">
        <v>226</v>
      </c>
      <c r="B624" s="30">
        <v>100</v>
      </c>
      <c r="C624" s="5">
        <v>100</v>
      </c>
      <c r="D624" s="62">
        <f t="shared" si="43"/>
        <v>0</v>
      </c>
      <c r="E624" s="173">
        <f t="shared" si="44"/>
        <v>1</v>
      </c>
      <c r="F624" s="63"/>
      <c r="G624" s="4"/>
      <c r="H624" s="173"/>
      <c r="I624" s="173"/>
      <c r="J624" s="59"/>
    </row>
    <row r="625" spans="1:10" ht="25.5">
      <c r="A625" s="207" t="s">
        <v>227</v>
      </c>
      <c r="B625" s="30">
        <v>25</v>
      </c>
      <c r="C625" s="5">
        <v>25</v>
      </c>
      <c r="D625" s="62">
        <f t="shared" si="43"/>
        <v>0</v>
      </c>
      <c r="E625" s="173">
        <f t="shared" si="44"/>
        <v>1</v>
      </c>
      <c r="F625" s="63"/>
      <c r="G625" s="4"/>
      <c r="H625" s="173"/>
      <c r="I625" s="173"/>
      <c r="J625" s="59"/>
    </row>
    <row r="626" spans="1:10" ht="76.5">
      <c r="A626" s="207" t="s">
        <v>228</v>
      </c>
      <c r="B626" s="30">
        <v>77</v>
      </c>
      <c r="C626" s="5">
        <v>77</v>
      </c>
      <c r="D626" s="62">
        <f t="shared" si="43"/>
        <v>0</v>
      </c>
      <c r="E626" s="173">
        <f t="shared" si="44"/>
        <v>1</v>
      </c>
      <c r="F626" s="63"/>
      <c r="G626" s="4"/>
      <c r="H626" s="173"/>
      <c r="I626" s="173"/>
      <c r="J626" s="59"/>
    </row>
    <row r="627" spans="1:10" s="243" customFormat="1" ht="15">
      <c r="A627" s="140" t="s">
        <v>544</v>
      </c>
      <c r="B627" s="140">
        <f>SUM(B620:B626)</f>
        <v>279</v>
      </c>
      <c r="C627" s="140">
        <f>SUM(C620:C626)</f>
        <v>279</v>
      </c>
      <c r="D627" s="140">
        <f t="shared" si="43"/>
        <v>0</v>
      </c>
      <c r="E627" s="141">
        <f t="shared" si="44"/>
        <v>1</v>
      </c>
      <c r="F627" s="142">
        <f>SUM(F620:F621)</f>
        <v>12902559.8</v>
      </c>
      <c r="G627" s="142">
        <f>SUM(G620:G621)</f>
        <v>12902559.8</v>
      </c>
      <c r="H627" s="141">
        <f>G627/F627</f>
        <v>1</v>
      </c>
      <c r="I627" s="141">
        <f>E627/H627</f>
        <v>1</v>
      </c>
      <c r="J627" s="380"/>
    </row>
    <row r="628" spans="1:10" s="243" customFormat="1" ht="25.5">
      <c r="A628" s="207" t="s">
        <v>759</v>
      </c>
      <c r="B628" s="62"/>
      <c r="C628" s="5"/>
      <c r="D628" s="62"/>
      <c r="E628" s="173"/>
      <c r="F628" s="173">
        <f>F627/F885</f>
        <v>0.00508898777547409</v>
      </c>
      <c r="G628" s="173">
        <f>G627/G885</f>
        <v>0.005143536504919146</v>
      </c>
      <c r="H628" s="173"/>
      <c r="I628" s="173"/>
      <c r="J628" s="59"/>
    </row>
    <row r="629" spans="1:10" ht="20.25" customHeight="1">
      <c r="A629" s="544" t="s">
        <v>545</v>
      </c>
      <c r="B629" s="545"/>
      <c r="C629" s="545"/>
      <c r="D629" s="545"/>
      <c r="E629" s="545"/>
      <c r="F629" s="545"/>
      <c r="G629" s="545"/>
      <c r="H629" s="545"/>
      <c r="I629" s="545"/>
      <c r="J629" s="546"/>
    </row>
    <row r="630" spans="1:10" ht="52.5" customHeight="1">
      <c r="A630" s="1" t="s">
        <v>628</v>
      </c>
      <c r="B630" s="235">
        <f>SUM(B631:B633)</f>
        <v>14</v>
      </c>
      <c r="C630" s="235">
        <f>SUM(C631:C633)</f>
        <v>14</v>
      </c>
      <c r="D630" s="226">
        <f aca="true" t="shared" si="45" ref="D630:D639">C630-B630</f>
        <v>0</v>
      </c>
      <c r="E630" s="229">
        <f aca="true" t="shared" si="46" ref="E630:E640">C630/B630</f>
        <v>1</v>
      </c>
      <c r="F630" s="228">
        <f>F631+F632+F633</f>
        <v>999999.94</v>
      </c>
      <c r="G630" s="228">
        <f>G631+G632+G633</f>
        <v>999999.94</v>
      </c>
      <c r="H630" s="229">
        <f>G630/F630</f>
        <v>1</v>
      </c>
      <c r="I630" s="229"/>
      <c r="J630" s="22"/>
    </row>
    <row r="631" spans="1:10" ht="18.75" customHeight="1">
      <c r="A631" s="242" t="s">
        <v>351</v>
      </c>
      <c r="B631" s="235">
        <v>4</v>
      </c>
      <c r="C631" s="235">
        <v>4</v>
      </c>
      <c r="D631" s="226">
        <f t="shared" si="45"/>
        <v>0</v>
      </c>
      <c r="E631" s="229">
        <f>C631/B631</f>
        <v>1</v>
      </c>
      <c r="F631" s="228">
        <v>110447.94</v>
      </c>
      <c r="G631" s="228">
        <v>110447.94</v>
      </c>
      <c r="H631" s="229">
        <f aca="true" t="shared" si="47" ref="H631:H639">G631/F631</f>
        <v>1</v>
      </c>
      <c r="I631" s="229"/>
      <c r="J631" s="22"/>
    </row>
    <row r="632" spans="1:10" ht="15.75" customHeight="1">
      <c r="A632" s="242" t="s">
        <v>350</v>
      </c>
      <c r="B632" s="235">
        <v>9</v>
      </c>
      <c r="C632" s="235">
        <v>9</v>
      </c>
      <c r="D632" s="226">
        <f t="shared" si="45"/>
        <v>0</v>
      </c>
      <c r="E632" s="229">
        <f>C632/B632</f>
        <v>1</v>
      </c>
      <c r="F632" s="228">
        <v>871552</v>
      </c>
      <c r="G632" s="510">
        <v>871552</v>
      </c>
      <c r="H632" s="229">
        <f t="shared" si="47"/>
        <v>1</v>
      </c>
      <c r="I632" s="229"/>
      <c r="J632" s="22"/>
    </row>
    <row r="633" spans="1:10" ht="18" customHeight="1">
      <c r="A633" s="242" t="s">
        <v>270</v>
      </c>
      <c r="B633" s="235">
        <v>1</v>
      </c>
      <c r="C633" s="235">
        <v>1</v>
      </c>
      <c r="D633" s="226">
        <f t="shared" si="45"/>
        <v>0</v>
      </c>
      <c r="E633" s="229">
        <f>C633/B633</f>
        <v>1</v>
      </c>
      <c r="F633" s="228">
        <v>18000</v>
      </c>
      <c r="G633" s="510">
        <v>18000</v>
      </c>
      <c r="H633" s="229">
        <f t="shared" si="47"/>
        <v>1</v>
      </c>
      <c r="I633" s="229"/>
      <c r="J633" s="22"/>
    </row>
    <row r="634" spans="1:10" ht="63.75">
      <c r="A634" s="1" t="s">
        <v>629</v>
      </c>
      <c r="B634" s="235">
        <v>8</v>
      </c>
      <c r="C634" s="235">
        <v>8</v>
      </c>
      <c r="D634" s="226">
        <f t="shared" si="45"/>
        <v>0</v>
      </c>
      <c r="E634" s="229">
        <f t="shared" si="46"/>
        <v>1</v>
      </c>
      <c r="F634" s="228">
        <f>F635+F636</f>
        <v>650555</v>
      </c>
      <c r="G634" s="510">
        <f>G635+G636</f>
        <v>553756.78</v>
      </c>
      <c r="H634" s="229">
        <f t="shared" si="47"/>
        <v>0.8512067081184528</v>
      </c>
      <c r="I634" s="229"/>
      <c r="J634" s="390"/>
    </row>
    <row r="635" spans="1:10" ht="51" customHeight="1">
      <c r="A635" s="242" t="s">
        <v>351</v>
      </c>
      <c r="B635" s="235">
        <v>7</v>
      </c>
      <c r="C635" s="235">
        <v>7</v>
      </c>
      <c r="D635" s="226">
        <f t="shared" si="45"/>
        <v>0</v>
      </c>
      <c r="E635" s="229">
        <f t="shared" si="46"/>
        <v>1</v>
      </c>
      <c r="F635" s="228">
        <v>550555</v>
      </c>
      <c r="G635" s="510">
        <v>453756.78</v>
      </c>
      <c r="H635" s="229">
        <f t="shared" si="47"/>
        <v>0.8241806540672595</v>
      </c>
      <c r="I635" s="229"/>
      <c r="J635" s="59" t="s">
        <v>630</v>
      </c>
    </row>
    <row r="636" spans="1:10" ht="12.75">
      <c r="A636" s="242" t="s">
        <v>270</v>
      </c>
      <c r="B636" s="235">
        <v>1</v>
      </c>
      <c r="C636" s="235">
        <v>1</v>
      </c>
      <c r="D636" s="226">
        <f t="shared" si="45"/>
        <v>0</v>
      </c>
      <c r="E636" s="229">
        <f>C636/B636</f>
        <v>1</v>
      </c>
      <c r="F636" s="228">
        <v>100000</v>
      </c>
      <c r="G636" s="510">
        <v>100000</v>
      </c>
      <c r="H636" s="229">
        <f t="shared" si="47"/>
        <v>1</v>
      </c>
      <c r="I636" s="229"/>
      <c r="J636" s="391"/>
    </row>
    <row r="637" spans="1:10" ht="51">
      <c r="A637" s="1" t="s">
        <v>348</v>
      </c>
      <c r="B637" s="235">
        <v>734</v>
      </c>
      <c r="C637" s="235">
        <v>734</v>
      </c>
      <c r="D637" s="226">
        <f t="shared" si="45"/>
        <v>0</v>
      </c>
      <c r="E637" s="229">
        <f t="shared" si="46"/>
        <v>1</v>
      </c>
      <c r="F637" s="231"/>
      <c r="G637" s="510"/>
      <c r="H637" s="232"/>
      <c r="I637" s="232"/>
      <c r="J637" s="391"/>
    </row>
    <row r="638" spans="1:10" ht="51">
      <c r="A638" s="1" t="s">
        <v>735</v>
      </c>
      <c r="B638" s="235">
        <v>15</v>
      </c>
      <c r="C638" s="235">
        <v>15</v>
      </c>
      <c r="D638" s="226">
        <f t="shared" si="45"/>
        <v>0</v>
      </c>
      <c r="E638" s="229">
        <f>C638/B638</f>
        <v>1</v>
      </c>
      <c r="F638" s="228">
        <v>75000</v>
      </c>
      <c r="G638" s="510">
        <v>75000</v>
      </c>
      <c r="H638" s="229">
        <f t="shared" si="47"/>
        <v>1</v>
      </c>
      <c r="I638" s="229"/>
      <c r="J638" s="391"/>
    </row>
    <row r="639" spans="1:10" ht="38.25">
      <c r="A639" s="1" t="s">
        <v>736</v>
      </c>
      <c r="B639" s="5">
        <v>250</v>
      </c>
      <c r="C639" s="235">
        <v>250</v>
      </c>
      <c r="D639" s="226">
        <f t="shared" si="45"/>
        <v>0</v>
      </c>
      <c r="E639" s="229">
        <f>C639/B639</f>
        <v>1</v>
      </c>
      <c r="F639" s="228">
        <v>200000</v>
      </c>
      <c r="G639" s="510">
        <v>200000</v>
      </c>
      <c r="H639" s="229">
        <f t="shared" si="47"/>
        <v>1</v>
      </c>
      <c r="I639" s="229"/>
      <c r="J639" s="391"/>
    </row>
    <row r="640" spans="1:10" ht="12.75">
      <c r="A640" s="140" t="s">
        <v>546</v>
      </c>
      <c r="B640" s="286">
        <f>B630+B634+B637+B638+B639</f>
        <v>1021</v>
      </c>
      <c r="C640" s="286">
        <f>C630+C634+C637+C638+C639</f>
        <v>1021</v>
      </c>
      <c r="D640" s="286">
        <f>D630+D634+D637</f>
        <v>0</v>
      </c>
      <c r="E640" s="321">
        <f t="shared" si="46"/>
        <v>1</v>
      </c>
      <c r="F640" s="256">
        <f>F630+F634+F637+F638+F639</f>
        <v>1925554.94</v>
      </c>
      <c r="G640" s="256">
        <f>G630+G634+G637+G638+G639</f>
        <v>1828756.72</v>
      </c>
      <c r="H640" s="257">
        <f>G640/F640</f>
        <v>0.949729702337135</v>
      </c>
      <c r="I640" s="257">
        <f>E640/H640</f>
        <v>1.0529311629815912</v>
      </c>
      <c r="J640" s="438"/>
    </row>
    <row r="641" spans="1:10" ht="25.5">
      <c r="A641" s="207" t="s">
        <v>759</v>
      </c>
      <c r="B641" s="62"/>
      <c r="C641" s="5"/>
      <c r="D641" s="62"/>
      <c r="E641" s="173"/>
      <c r="F641" s="173">
        <f>F640/F885</f>
        <v>0.0007594714306740701</v>
      </c>
      <c r="G641" s="173">
        <f>G640/G885</f>
        <v>0.0007290240924080973</v>
      </c>
      <c r="H641" s="173"/>
      <c r="I641" s="173"/>
      <c r="J641" s="59"/>
    </row>
    <row r="642" spans="1:10" ht="12.75">
      <c r="A642" s="365" t="s">
        <v>349</v>
      </c>
      <c r="B642" s="287"/>
      <c r="C642" s="287"/>
      <c r="D642" s="287"/>
      <c r="E642" s="324"/>
      <c r="F642" s="287">
        <f>F15+F68+F76+F141+F165+F184+F287+F296+F305+F373+F385+F445+F476+F563+F582+F612+F617+F627+F640</f>
        <v>1310374247.9699998</v>
      </c>
      <c r="G642" s="287">
        <f>G15+G68+G76+G141+G165+G184+G287+G296+G305+G373+G385+G445+G476+G563+G582+G612+G617+G627+G640</f>
        <v>1293087762.0699997</v>
      </c>
      <c r="H642" s="511">
        <f>G642/F642</f>
        <v>0.9868079780056881</v>
      </c>
      <c r="I642" s="511">
        <f>(I15+I68+I76+I141+I165+I184+I287+I296+I305+I373+I385+I445+I476+I563+I582+I612+I617+I627+I640)/19</f>
        <v>1.0578228438772448</v>
      </c>
      <c r="J642" s="439"/>
    </row>
    <row r="643" spans="1:10" ht="25.5">
      <c r="A643" s="207" t="s">
        <v>759</v>
      </c>
      <c r="B643" s="62"/>
      <c r="C643" s="5"/>
      <c r="D643" s="62"/>
      <c r="E643" s="173"/>
      <c r="F643" s="173">
        <f>F642/F885</f>
        <v>0.5168337626472681</v>
      </c>
      <c r="G643" s="173">
        <f>G642/G885</f>
        <v>0.5154825252793052</v>
      </c>
      <c r="H643" s="173"/>
      <c r="I643" s="173"/>
      <c r="J643" s="59"/>
    </row>
    <row r="644" spans="1:10" ht="12.75">
      <c r="A644" s="308"/>
      <c r="B644" s="112"/>
      <c r="C644" s="112"/>
      <c r="D644" s="112"/>
      <c r="E644" s="111"/>
      <c r="F644" s="112"/>
      <c r="G644" s="112"/>
      <c r="H644" s="111"/>
      <c r="I644" s="111"/>
      <c r="J644" s="440"/>
    </row>
    <row r="645" spans="1:10" ht="16.5" customHeight="1">
      <c r="A645" s="549" t="s">
        <v>763</v>
      </c>
      <c r="B645" s="549"/>
      <c r="C645" s="549"/>
      <c r="D645" s="549"/>
      <c r="E645" s="549"/>
      <c r="F645" s="549"/>
      <c r="G645" s="549"/>
      <c r="H645" s="549"/>
      <c r="I645" s="549"/>
      <c r="J645" s="549"/>
    </row>
    <row r="646" spans="1:10" ht="20.25" customHeight="1">
      <c r="A646" s="537" t="s">
        <v>765</v>
      </c>
      <c r="B646" s="537"/>
      <c r="C646" s="537"/>
      <c r="D646" s="537"/>
      <c r="E646" s="537"/>
      <c r="F646" s="537"/>
      <c r="G646" s="537"/>
      <c r="H646" s="537"/>
      <c r="I646" s="537"/>
      <c r="J646" s="537"/>
    </row>
    <row r="647" spans="1:10" ht="12.75">
      <c r="A647" s="550" t="s">
        <v>268</v>
      </c>
      <c r="B647" s="550"/>
      <c r="C647" s="550"/>
      <c r="D647" s="550"/>
      <c r="E647" s="550"/>
      <c r="F647" s="550"/>
      <c r="G647" s="550"/>
      <c r="H647" s="550"/>
      <c r="I647" s="550"/>
      <c r="J647" s="550"/>
    </row>
    <row r="648" spans="1:10" ht="51">
      <c r="A648" s="106" t="s">
        <v>233</v>
      </c>
      <c r="B648" s="30">
        <v>25</v>
      </c>
      <c r="C648" s="30">
        <v>25</v>
      </c>
      <c r="D648" s="325">
        <f>C648-B648</f>
        <v>0</v>
      </c>
      <c r="E648" s="326">
        <f>C648/B648</f>
        <v>1</v>
      </c>
      <c r="F648" s="49">
        <v>3857954.73</v>
      </c>
      <c r="G648" s="49">
        <v>3857954.73</v>
      </c>
      <c r="H648" s="31">
        <f>G648/F648</f>
        <v>1</v>
      </c>
      <c r="I648" s="31"/>
      <c r="J648" s="179"/>
    </row>
    <row r="649" spans="1:10" ht="108">
      <c r="A649" s="106" t="s">
        <v>234</v>
      </c>
      <c r="B649" s="30">
        <v>25</v>
      </c>
      <c r="C649" s="30">
        <v>25</v>
      </c>
      <c r="D649" s="325">
        <f>C649-B649</f>
        <v>0</v>
      </c>
      <c r="E649" s="326">
        <f>C649/B649</f>
        <v>1</v>
      </c>
      <c r="F649" s="49">
        <v>8516605.27</v>
      </c>
      <c r="G649" s="49">
        <v>8489573.07</v>
      </c>
      <c r="H649" s="31">
        <f>G649/F649</f>
        <v>0.9968259418931601</v>
      </c>
      <c r="I649" s="31"/>
      <c r="J649" s="274" t="s">
        <v>601</v>
      </c>
    </row>
    <row r="650" spans="1:10" ht="12.75">
      <c r="A650" s="140" t="s">
        <v>766</v>
      </c>
      <c r="B650" s="140">
        <f>B648+B649</f>
        <v>50</v>
      </c>
      <c r="C650" s="140">
        <f>C648+C649</f>
        <v>50</v>
      </c>
      <c r="D650" s="284">
        <f>C650-B650</f>
        <v>0</v>
      </c>
      <c r="E650" s="285">
        <f>C650/B650</f>
        <v>1</v>
      </c>
      <c r="F650" s="284">
        <f>F648+F649</f>
        <v>12374560</v>
      </c>
      <c r="G650" s="284">
        <f>G648+G649</f>
        <v>12347527.8</v>
      </c>
      <c r="H650" s="141">
        <f>(H648+H649)/2</f>
        <v>0.9984129709465801</v>
      </c>
      <c r="I650" s="141">
        <f>E650/H650</f>
        <v>1.0015895517181785</v>
      </c>
      <c r="J650" s="380"/>
    </row>
    <row r="651" spans="1:10" ht="25.5">
      <c r="A651" s="106" t="s">
        <v>759</v>
      </c>
      <c r="B651" s="32"/>
      <c r="C651" s="32"/>
      <c r="D651" s="41"/>
      <c r="E651" s="42"/>
      <c r="F651" s="36">
        <f>F650/F885</f>
        <v>0.004880735725547318</v>
      </c>
      <c r="G651" s="36">
        <f>G650/G885</f>
        <v>0.004922275964557359</v>
      </c>
      <c r="H651" s="33"/>
      <c r="I651" s="33"/>
      <c r="J651" s="381"/>
    </row>
    <row r="652" spans="1:10" ht="17.25" customHeight="1">
      <c r="A652" s="557" t="s">
        <v>184</v>
      </c>
      <c r="B652" s="557"/>
      <c r="C652" s="557"/>
      <c r="D652" s="557"/>
      <c r="E652" s="557"/>
      <c r="F652" s="557"/>
      <c r="G652" s="557"/>
      <c r="H652" s="557"/>
      <c r="I652" s="557"/>
      <c r="J652" s="557"/>
    </row>
    <row r="653" spans="1:10" ht="21.75" customHeight="1">
      <c r="A653" s="556" t="s">
        <v>245</v>
      </c>
      <c r="B653" s="556"/>
      <c r="C653" s="556"/>
      <c r="D653" s="556"/>
      <c r="E653" s="556"/>
      <c r="F653" s="556"/>
      <c r="G653" s="556"/>
      <c r="H653" s="556"/>
      <c r="I653" s="556"/>
      <c r="J653" s="556"/>
    </row>
    <row r="654" spans="1:10" ht="51">
      <c r="A654" s="12" t="s">
        <v>246</v>
      </c>
      <c r="B654" s="12"/>
      <c r="C654" s="12"/>
      <c r="D654" s="12"/>
      <c r="E654" s="12"/>
      <c r="F654" s="4">
        <v>254900</v>
      </c>
      <c r="G654" s="4">
        <v>254900</v>
      </c>
      <c r="H654" s="227">
        <f>G654/F654</f>
        <v>1</v>
      </c>
      <c r="I654" s="224"/>
      <c r="J654" s="384"/>
    </row>
    <row r="655" spans="1:10" ht="12.75">
      <c r="A655" s="12" t="s">
        <v>185</v>
      </c>
      <c r="B655" s="12"/>
      <c r="C655" s="12"/>
      <c r="D655" s="12"/>
      <c r="E655" s="12"/>
      <c r="F655" s="228">
        <v>254900</v>
      </c>
      <c r="G655" s="228">
        <v>254900</v>
      </c>
      <c r="H655" s="227">
        <f>G655/F655</f>
        <v>1</v>
      </c>
      <c r="I655" s="5"/>
      <c r="J655" s="385"/>
    </row>
    <row r="656" spans="1:10" ht="50.25" customHeight="1">
      <c r="A656" s="207" t="s">
        <v>247</v>
      </c>
      <c r="B656" s="62">
        <v>3000</v>
      </c>
      <c r="C656" s="62">
        <v>3000</v>
      </c>
      <c r="D656" s="62">
        <v>0</v>
      </c>
      <c r="E656" s="227">
        <v>1</v>
      </c>
      <c r="F656" s="207"/>
      <c r="G656" s="207"/>
      <c r="H656" s="207"/>
      <c r="I656" s="207"/>
      <c r="J656" s="250"/>
    </row>
    <row r="657" spans="1:10" ht="50.25" customHeight="1">
      <c r="A657" s="207" t="s">
        <v>248</v>
      </c>
      <c r="B657" s="62">
        <v>10</v>
      </c>
      <c r="C657" s="62">
        <v>10</v>
      </c>
      <c r="D657" s="62">
        <v>0</v>
      </c>
      <c r="E657" s="227">
        <v>1</v>
      </c>
      <c r="F657" s="207"/>
      <c r="G657" s="207"/>
      <c r="H657" s="207"/>
      <c r="I657" s="207"/>
      <c r="J657" s="250"/>
    </row>
    <row r="658" spans="1:10" ht="50.25" customHeight="1">
      <c r="A658" s="207" t="s">
        <v>352</v>
      </c>
      <c r="B658" s="62">
        <v>5</v>
      </c>
      <c r="C658" s="62">
        <v>5</v>
      </c>
      <c r="D658" s="62">
        <v>0</v>
      </c>
      <c r="E658" s="227">
        <v>1</v>
      </c>
      <c r="F658" s="207"/>
      <c r="G658" s="207"/>
      <c r="H658" s="207"/>
      <c r="I658" s="207"/>
      <c r="J658" s="250"/>
    </row>
    <row r="659" spans="1:10" ht="50.25" customHeight="1">
      <c r="A659" s="207" t="s">
        <v>353</v>
      </c>
      <c r="B659" s="62">
        <v>4500</v>
      </c>
      <c r="C659" s="62">
        <v>4500</v>
      </c>
      <c r="D659" s="62">
        <v>0</v>
      </c>
      <c r="E659" s="227">
        <v>1</v>
      </c>
      <c r="F659" s="207"/>
      <c r="G659" s="207"/>
      <c r="H659" s="207"/>
      <c r="I659" s="207"/>
      <c r="J659" s="250"/>
    </row>
    <row r="660" spans="1:10" ht="41.25" customHeight="1">
      <c r="A660" s="207" t="s">
        <v>590</v>
      </c>
      <c r="B660" s="62">
        <v>50</v>
      </c>
      <c r="C660" s="62">
        <v>50</v>
      </c>
      <c r="D660" s="62">
        <v>0</v>
      </c>
      <c r="E660" s="227">
        <v>1</v>
      </c>
      <c r="F660" s="207"/>
      <c r="G660" s="207"/>
      <c r="H660" s="207"/>
      <c r="I660" s="207"/>
      <c r="J660" s="250"/>
    </row>
    <row r="661" spans="1:10" ht="39" customHeight="1">
      <c r="A661" s="207" t="s">
        <v>354</v>
      </c>
      <c r="B661" s="62">
        <v>200</v>
      </c>
      <c r="C661" s="62">
        <v>200</v>
      </c>
      <c r="D661" s="62">
        <v>0</v>
      </c>
      <c r="E661" s="227">
        <v>1</v>
      </c>
      <c r="F661" s="207"/>
      <c r="G661" s="207"/>
      <c r="H661" s="207"/>
      <c r="I661" s="207"/>
      <c r="J661" s="250"/>
    </row>
    <row r="662" spans="1:10" ht="76.5">
      <c r="A662" s="1" t="s">
        <v>355</v>
      </c>
      <c r="B662" s="62">
        <v>130</v>
      </c>
      <c r="C662" s="62">
        <v>130</v>
      </c>
      <c r="D662" s="62">
        <v>0</v>
      </c>
      <c r="E662" s="227">
        <v>1</v>
      </c>
      <c r="F662" s="207"/>
      <c r="G662" s="207"/>
      <c r="H662" s="207"/>
      <c r="I662" s="207"/>
      <c r="J662" s="250"/>
    </row>
    <row r="663" spans="1:10" ht="38.25">
      <c r="A663" s="1" t="s">
        <v>356</v>
      </c>
      <c r="B663" s="62">
        <v>1</v>
      </c>
      <c r="C663" s="62">
        <v>1</v>
      </c>
      <c r="D663" s="62">
        <v>0</v>
      </c>
      <c r="E663" s="227">
        <v>1</v>
      </c>
      <c r="F663" s="207"/>
      <c r="G663" s="207"/>
      <c r="H663" s="207"/>
      <c r="I663" s="207"/>
      <c r="J663" s="250"/>
    </row>
    <row r="664" spans="1:10" ht="51">
      <c r="A664" s="1" t="s">
        <v>357</v>
      </c>
      <c r="B664" s="62">
        <v>10</v>
      </c>
      <c r="C664" s="62">
        <v>10</v>
      </c>
      <c r="D664" s="62">
        <v>0</v>
      </c>
      <c r="E664" s="227">
        <v>1</v>
      </c>
      <c r="F664" s="207"/>
      <c r="G664" s="207"/>
      <c r="H664" s="207"/>
      <c r="I664" s="207"/>
      <c r="J664" s="250"/>
    </row>
    <row r="665" spans="1:10" ht="22.5" customHeight="1">
      <c r="A665" s="106" t="s">
        <v>358</v>
      </c>
      <c r="B665" s="316">
        <f>SUM(B656:B664)</f>
        <v>7906</v>
      </c>
      <c r="C665" s="316">
        <f>SUM(C656:C664)</f>
        <v>7906</v>
      </c>
      <c r="D665" s="311">
        <v>0</v>
      </c>
      <c r="E665" s="111">
        <f>C665/B665</f>
        <v>1</v>
      </c>
      <c r="F665" s="56">
        <f>F654</f>
        <v>254900</v>
      </c>
      <c r="G665" s="56">
        <f>G654</f>
        <v>254900</v>
      </c>
      <c r="H665" s="111">
        <f>G665/F665</f>
        <v>1</v>
      </c>
      <c r="I665" s="111">
        <f>E665/H665</f>
        <v>1</v>
      </c>
      <c r="J665" s="383"/>
    </row>
    <row r="666" spans="1:10" ht="12.75">
      <c r="A666" s="561" t="s">
        <v>362</v>
      </c>
      <c r="B666" s="561"/>
      <c r="C666" s="561"/>
      <c r="D666" s="561"/>
      <c r="E666" s="561"/>
      <c r="F666" s="561"/>
      <c r="G666" s="561"/>
      <c r="H666" s="561"/>
      <c r="I666" s="561"/>
      <c r="J666" s="561"/>
    </row>
    <row r="667" spans="1:10" ht="51">
      <c r="A667" s="299" t="s">
        <v>363</v>
      </c>
      <c r="B667" s="225"/>
      <c r="C667" s="225"/>
      <c r="D667" s="228"/>
      <c r="E667" s="229"/>
      <c r="F667" s="228">
        <v>1000000</v>
      </c>
      <c r="G667" s="228">
        <v>1000000</v>
      </c>
      <c r="H667" s="227">
        <f>G667/F667</f>
        <v>1</v>
      </c>
      <c r="I667" s="232"/>
      <c r="J667" s="27"/>
    </row>
    <row r="668" spans="1:10" ht="38.25" customHeight="1">
      <c r="A668" s="299" t="s">
        <v>562</v>
      </c>
      <c r="B668" s="225"/>
      <c r="C668" s="225"/>
      <c r="D668" s="228"/>
      <c r="E668" s="229"/>
      <c r="F668" s="228">
        <v>1000000</v>
      </c>
      <c r="G668" s="228">
        <v>1000000</v>
      </c>
      <c r="H668" s="227">
        <f>G668/F668</f>
        <v>1</v>
      </c>
      <c r="I668" s="229"/>
      <c r="J668" s="387"/>
    </row>
    <row r="669" spans="1:10" ht="25.5">
      <c r="A669" s="20" t="s">
        <v>366</v>
      </c>
      <c r="B669" s="4">
        <v>1</v>
      </c>
      <c r="C669" s="4">
        <v>1</v>
      </c>
      <c r="D669" s="4">
        <f>C669-B669</f>
        <v>0</v>
      </c>
      <c r="E669" s="111">
        <f>C669/B669</f>
        <v>1</v>
      </c>
      <c r="F669" s="228"/>
      <c r="G669" s="228"/>
      <c r="H669" s="229"/>
      <c r="I669" s="229"/>
      <c r="J669" s="387"/>
    </row>
    <row r="670" spans="1:10" ht="17.25" customHeight="1">
      <c r="A670" s="106" t="s">
        <v>367</v>
      </c>
      <c r="B670" s="315">
        <f>B669</f>
        <v>1</v>
      </c>
      <c r="C670" s="315">
        <f>C669</f>
        <v>1</v>
      </c>
      <c r="D670" s="315">
        <f>D669</f>
        <v>0</v>
      </c>
      <c r="E670" s="111">
        <f>C670/B670</f>
        <v>1</v>
      </c>
      <c r="F670" s="315">
        <f>F667</f>
        <v>1000000</v>
      </c>
      <c r="G670" s="315">
        <f>G667</f>
        <v>1000000</v>
      </c>
      <c r="H670" s="111">
        <f>G670/F670</f>
        <v>1</v>
      </c>
      <c r="I670" s="111">
        <f>E670/H670</f>
        <v>1</v>
      </c>
      <c r="J670" s="388"/>
    </row>
    <row r="671" spans="1:10" ht="13.5" customHeight="1">
      <c r="A671" s="139" t="s">
        <v>124</v>
      </c>
      <c r="B671" s="288">
        <f>B665+B670</f>
        <v>7907</v>
      </c>
      <c r="C671" s="288">
        <f>C665+C670</f>
        <v>7907</v>
      </c>
      <c r="D671" s="288">
        <f>C671-B671</f>
        <v>0</v>
      </c>
      <c r="E671" s="257">
        <f>C671/B671</f>
        <v>1</v>
      </c>
      <c r="F671" s="288">
        <f>F665+F670</f>
        <v>1254900</v>
      </c>
      <c r="G671" s="288">
        <f>G665+G670</f>
        <v>1254900</v>
      </c>
      <c r="H671" s="257">
        <f>G671/F671</f>
        <v>1</v>
      </c>
      <c r="I671" s="257">
        <f>E671/H671</f>
        <v>1</v>
      </c>
      <c r="J671" s="438"/>
    </row>
    <row r="672" spans="1:10" ht="13.5" customHeight="1">
      <c r="A672" s="106" t="s">
        <v>759</v>
      </c>
      <c r="B672" s="32"/>
      <c r="C672" s="32"/>
      <c r="D672" s="41"/>
      <c r="E672" s="42"/>
      <c r="F672" s="113">
        <f>F671/F885</f>
        <v>0.0004949537811436794</v>
      </c>
      <c r="G672" s="113">
        <f>G671/G885</f>
        <v>0.0005002591780293889</v>
      </c>
      <c r="H672" s="33"/>
      <c r="I672" s="33"/>
      <c r="J672" s="381"/>
    </row>
    <row r="673" spans="1:10" ht="16.5" customHeight="1">
      <c r="A673" s="537" t="s">
        <v>325</v>
      </c>
      <c r="B673" s="537"/>
      <c r="C673" s="537"/>
      <c r="D673" s="537"/>
      <c r="E673" s="537"/>
      <c r="F673" s="537"/>
      <c r="G673" s="537"/>
      <c r="H673" s="537"/>
      <c r="I673" s="537"/>
      <c r="J673" s="537"/>
    </row>
    <row r="674" spans="1:10" ht="76.5">
      <c r="A674" s="18" t="s">
        <v>326</v>
      </c>
      <c r="B674" s="80"/>
      <c r="C674" s="80"/>
      <c r="D674" s="15"/>
      <c r="E674" s="15"/>
      <c r="F674" s="94">
        <v>357026810</v>
      </c>
      <c r="G674" s="94">
        <v>357026810</v>
      </c>
      <c r="H674" s="19">
        <f aca="true" t="shared" si="48" ref="H674:H695">G674/F674</f>
        <v>1</v>
      </c>
      <c r="I674" s="80"/>
      <c r="J674" s="441"/>
    </row>
    <row r="675" spans="1:10" ht="75.75" customHeight="1">
      <c r="A675" s="18" t="s">
        <v>327</v>
      </c>
      <c r="B675" s="95"/>
      <c r="C675" s="95"/>
      <c r="D675" s="95"/>
      <c r="E675" s="15"/>
      <c r="F675" s="94">
        <v>15689130</v>
      </c>
      <c r="G675" s="94">
        <v>15689130</v>
      </c>
      <c r="H675" s="19">
        <f t="shared" si="48"/>
        <v>1</v>
      </c>
      <c r="I675" s="96"/>
      <c r="J675" s="404"/>
    </row>
    <row r="676" spans="1:10" ht="76.5">
      <c r="A676" s="18" t="s">
        <v>700</v>
      </c>
      <c r="B676" s="14"/>
      <c r="C676" s="14"/>
      <c r="D676" s="14"/>
      <c r="E676" s="15"/>
      <c r="F676" s="94">
        <v>717300</v>
      </c>
      <c r="G676" s="94">
        <v>717300</v>
      </c>
      <c r="H676" s="19">
        <f t="shared" si="48"/>
        <v>1</v>
      </c>
      <c r="I676" s="96"/>
      <c r="J676" s="442"/>
    </row>
    <row r="677" spans="1:10" ht="89.25">
      <c r="A677" s="17" t="s">
        <v>502</v>
      </c>
      <c r="B677" s="14"/>
      <c r="C677" s="14"/>
      <c r="D677" s="14"/>
      <c r="E677" s="15"/>
      <c r="F677" s="94">
        <v>607700</v>
      </c>
      <c r="G677" s="94">
        <v>607700</v>
      </c>
      <c r="H677" s="19">
        <f t="shared" si="48"/>
        <v>1</v>
      </c>
      <c r="I677" s="96"/>
      <c r="J677" s="442"/>
    </row>
    <row r="678" spans="1:10" ht="63.75">
      <c r="A678" s="17" t="s">
        <v>503</v>
      </c>
      <c r="B678" s="14"/>
      <c r="C678" s="14"/>
      <c r="D678" s="14"/>
      <c r="E678" s="15"/>
      <c r="F678" s="123">
        <v>2973000</v>
      </c>
      <c r="G678" s="94">
        <v>2203323.5</v>
      </c>
      <c r="H678" s="19">
        <f t="shared" si="48"/>
        <v>0.7411111671712075</v>
      </c>
      <c r="I678" s="96"/>
      <c r="J678" s="443" t="s">
        <v>575</v>
      </c>
    </row>
    <row r="679" spans="1:10" ht="102">
      <c r="A679" s="18" t="s">
        <v>25</v>
      </c>
      <c r="B679" s="95"/>
      <c r="C679" s="95"/>
      <c r="D679" s="95"/>
      <c r="E679" s="15"/>
      <c r="F679" s="94">
        <v>284033500</v>
      </c>
      <c r="G679" s="94">
        <v>284033500</v>
      </c>
      <c r="H679" s="19">
        <f t="shared" si="48"/>
        <v>1</v>
      </c>
      <c r="I679" s="96"/>
      <c r="J679" s="404"/>
    </row>
    <row r="680" spans="1:10" ht="79.5" customHeight="1">
      <c r="A680" s="18" t="s">
        <v>216</v>
      </c>
      <c r="B680" s="80"/>
      <c r="C680" s="80"/>
      <c r="D680" s="15"/>
      <c r="E680" s="15"/>
      <c r="F680" s="94">
        <v>295400</v>
      </c>
      <c r="G680" s="94">
        <v>295400</v>
      </c>
      <c r="H680" s="19">
        <f t="shared" si="48"/>
        <v>1</v>
      </c>
      <c r="I680" s="80"/>
      <c r="J680" s="441"/>
    </row>
    <row r="681" spans="1:10" ht="117" customHeight="1">
      <c r="A681" s="18" t="s">
        <v>0</v>
      </c>
      <c r="B681" s="80"/>
      <c r="C681" s="80"/>
      <c r="D681" s="15"/>
      <c r="E681" s="15"/>
      <c r="F681" s="94">
        <v>50802060</v>
      </c>
      <c r="G681" s="94">
        <v>50802060</v>
      </c>
      <c r="H681" s="19">
        <f t="shared" si="48"/>
        <v>1</v>
      </c>
      <c r="I681" s="80"/>
      <c r="J681" s="441"/>
    </row>
    <row r="682" spans="1:10" ht="141.75" customHeight="1">
      <c r="A682" s="18" t="s">
        <v>576</v>
      </c>
      <c r="B682" s="80"/>
      <c r="C682" s="80"/>
      <c r="D682" s="15"/>
      <c r="E682" s="15"/>
      <c r="F682" s="94">
        <v>7226100</v>
      </c>
      <c r="G682" s="94">
        <v>7044616.82</v>
      </c>
      <c r="H682" s="19">
        <f t="shared" si="48"/>
        <v>0.9748850444914962</v>
      </c>
      <c r="I682" s="80"/>
      <c r="J682" s="441"/>
    </row>
    <row r="683" spans="1:10" ht="109.5" customHeight="1">
      <c r="A683" s="18" t="s">
        <v>688</v>
      </c>
      <c r="B683" s="18"/>
      <c r="C683" s="18"/>
      <c r="D683" s="18"/>
      <c r="E683" s="18"/>
      <c r="F683" s="94">
        <v>0</v>
      </c>
      <c r="G683" s="94">
        <f>100000</f>
        <v>100000</v>
      </c>
      <c r="H683" s="94"/>
      <c r="I683" s="18"/>
      <c r="J683" s="444"/>
    </row>
    <row r="684" spans="1:10" ht="63.75">
      <c r="A684" s="18" t="s">
        <v>392</v>
      </c>
      <c r="B684" s="80"/>
      <c r="C684" s="80"/>
      <c r="D684" s="15"/>
      <c r="E684" s="15"/>
      <c r="F684" s="94">
        <v>468100</v>
      </c>
      <c r="G684" s="94">
        <v>468100</v>
      </c>
      <c r="H684" s="19">
        <f t="shared" si="48"/>
        <v>1</v>
      </c>
      <c r="I684" s="80"/>
      <c r="J684" s="441"/>
    </row>
    <row r="685" spans="1:10" ht="38.25">
      <c r="A685" s="18" t="s">
        <v>393</v>
      </c>
      <c r="B685" s="80"/>
      <c r="C685" s="80"/>
      <c r="D685" s="15"/>
      <c r="E685" s="15"/>
      <c r="F685" s="94">
        <v>9904400</v>
      </c>
      <c r="G685" s="94">
        <v>9904400</v>
      </c>
      <c r="H685" s="19">
        <f t="shared" si="48"/>
        <v>1</v>
      </c>
      <c r="I685" s="80"/>
      <c r="J685" s="441"/>
    </row>
    <row r="686" spans="1:10" ht="89.25">
      <c r="A686" s="1" t="s">
        <v>506</v>
      </c>
      <c r="B686" s="80"/>
      <c r="C686" s="80"/>
      <c r="D686" s="15"/>
      <c r="E686" s="15"/>
      <c r="F686" s="94">
        <v>818900</v>
      </c>
      <c r="G686" s="94">
        <v>818900</v>
      </c>
      <c r="H686" s="19">
        <f t="shared" si="48"/>
        <v>1</v>
      </c>
      <c r="I686" s="80"/>
      <c r="J686" s="441"/>
    </row>
    <row r="687" spans="1:10" ht="93.75" customHeight="1">
      <c r="A687" s="1" t="s">
        <v>507</v>
      </c>
      <c r="B687" s="80"/>
      <c r="C687" s="80"/>
      <c r="D687" s="15"/>
      <c r="E687" s="15"/>
      <c r="F687" s="94">
        <v>377600</v>
      </c>
      <c r="G687" s="94">
        <v>377600</v>
      </c>
      <c r="H687" s="19">
        <f t="shared" si="48"/>
        <v>1</v>
      </c>
      <c r="I687" s="80"/>
      <c r="J687" s="441"/>
    </row>
    <row r="688" spans="1:10" ht="76.5">
      <c r="A688" s="1" t="s">
        <v>508</v>
      </c>
      <c r="B688" s="80"/>
      <c r="C688" s="80"/>
      <c r="D688" s="15"/>
      <c r="E688" s="15"/>
      <c r="F688" s="123">
        <v>3002400</v>
      </c>
      <c r="G688" s="94">
        <v>2912779</v>
      </c>
      <c r="H688" s="19">
        <f t="shared" si="48"/>
        <v>0.9701502131628031</v>
      </c>
      <c r="I688" s="80"/>
      <c r="J688" s="445" t="s">
        <v>575</v>
      </c>
    </row>
    <row r="689" spans="1:10" ht="89.25">
      <c r="A689" s="1" t="s">
        <v>509</v>
      </c>
      <c r="B689" s="80"/>
      <c r="C689" s="80"/>
      <c r="D689" s="15"/>
      <c r="E689" s="15"/>
      <c r="F689" s="123">
        <v>2880100</v>
      </c>
      <c r="G689" s="94">
        <v>2498017</v>
      </c>
      <c r="H689" s="19">
        <f t="shared" si="48"/>
        <v>0.8673368980243742</v>
      </c>
      <c r="I689" s="80"/>
      <c r="J689" s="445" t="s">
        <v>575</v>
      </c>
    </row>
    <row r="690" spans="1:10" ht="63.75">
      <c r="A690" s="18" t="s">
        <v>394</v>
      </c>
      <c r="B690" s="80"/>
      <c r="C690" s="80"/>
      <c r="D690" s="15"/>
      <c r="E690" s="15"/>
      <c r="F690" s="94">
        <v>1019600</v>
      </c>
      <c r="G690" s="94">
        <v>1019600</v>
      </c>
      <c r="H690" s="19">
        <f t="shared" si="48"/>
        <v>1</v>
      </c>
      <c r="I690" s="80"/>
      <c r="J690" s="441"/>
    </row>
    <row r="691" spans="1:10" ht="75.75" customHeight="1">
      <c r="A691" s="16" t="s">
        <v>511</v>
      </c>
      <c r="B691" s="80"/>
      <c r="C691" s="80"/>
      <c r="D691" s="15"/>
      <c r="E691" s="15"/>
      <c r="F691" s="94">
        <f>8275178.86+1941091.14</f>
        <v>10216270</v>
      </c>
      <c r="G691" s="94">
        <v>8446576.29</v>
      </c>
      <c r="H691" s="19">
        <f t="shared" si="48"/>
        <v>0.8267769244548157</v>
      </c>
      <c r="I691" s="80"/>
      <c r="J691" s="446" t="s">
        <v>115</v>
      </c>
    </row>
    <row r="692" spans="1:10" ht="76.5">
      <c r="A692" s="16" t="s">
        <v>512</v>
      </c>
      <c r="B692" s="80"/>
      <c r="C692" s="80"/>
      <c r="D692" s="15"/>
      <c r="E692" s="15"/>
      <c r="F692" s="94">
        <v>5272900</v>
      </c>
      <c r="G692" s="94">
        <v>5272900</v>
      </c>
      <c r="H692" s="19">
        <f t="shared" si="48"/>
        <v>1</v>
      </c>
      <c r="I692" s="80"/>
      <c r="J692" s="441"/>
    </row>
    <row r="693" spans="1:10" ht="25.5">
      <c r="A693" s="18" t="s">
        <v>182</v>
      </c>
      <c r="B693" s="80"/>
      <c r="C693" s="80"/>
      <c r="D693" s="15"/>
      <c r="E693" s="15"/>
      <c r="F693" s="94">
        <v>8452800</v>
      </c>
      <c r="G693" s="94">
        <v>8452800</v>
      </c>
      <c r="H693" s="19">
        <f t="shared" si="48"/>
        <v>1</v>
      </c>
      <c r="I693" s="80"/>
      <c r="J693" s="441"/>
    </row>
    <row r="694" spans="1:10" ht="38.25">
      <c r="A694" s="18" t="s">
        <v>698</v>
      </c>
      <c r="B694" s="80"/>
      <c r="C694" s="80"/>
      <c r="D694" s="15"/>
      <c r="E694" s="15"/>
      <c r="F694" s="94">
        <v>7097400</v>
      </c>
      <c r="G694" s="94">
        <v>7097400</v>
      </c>
      <c r="H694" s="19">
        <f t="shared" si="48"/>
        <v>1</v>
      </c>
      <c r="I694" s="80"/>
      <c r="J694" s="441"/>
    </row>
    <row r="695" spans="1:10" ht="140.25">
      <c r="A695" s="18" t="s">
        <v>12</v>
      </c>
      <c r="B695" s="80"/>
      <c r="C695" s="80"/>
      <c r="D695" s="15"/>
      <c r="E695" s="15"/>
      <c r="F695" s="94">
        <f>731429.38+171570.62</f>
        <v>903000</v>
      </c>
      <c r="G695" s="94">
        <f>731429.38+171570.62</f>
        <v>903000</v>
      </c>
      <c r="H695" s="19">
        <f t="shared" si="48"/>
        <v>1</v>
      </c>
      <c r="I695" s="80"/>
      <c r="J695" s="441"/>
    </row>
    <row r="696" spans="1:10" ht="89.25">
      <c r="A696" s="247" t="s">
        <v>445</v>
      </c>
      <c r="B696" s="88">
        <v>100</v>
      </c>
      <c r="C696" s="88">
        <v>100</v>
      </c>
      <c r="D696" s="14">
        <f>C696-B696</f>
        <v>0</v>
      </c>
      <c r="E696" s="15">
        <f>C696/B696</f>
        <v>1</v>
      </c>
      <c r="F696" s="82"/>
      <c r="G696" s="82"/>
      <c r="H696" s="81"/>
      <c r="I696" s="81"/>
      <c r="J696" s="402"/>
    </row>
    <row r="697" spans="1:10" ht="25.5">
      <c r="A697" s="247" t="s">
        <v>385</v>
      </c>
      <c r="B697" s="88">
        <v>100</v>
      </c>
      <c r="C697" s="88">
        <v>100</v>
      </c>
      <c r="D697" s="14">
        <f>C697-B697</f>
        <v>0</v>
      </c>
      <c r="E697" s="15">
        <f>C697/B697</f>
        <v>1</v>
      </c>
      <c r="F697" s="82"/>
      <c r="G697" s="82"/>
      <c r="H697" s="81"/>
      <c r="I697" s="81"/>
      <c r="J697" s="402"/>
    </row>
    <row r="698" spans="1:10" ht="63.75">
      <c r="A698" s="247" t="s">
        <v>307</v>
      </c>
      <c r="B698" s="88">
        <v>240</v>
      </c>
      <c r="C698" s="88">
        <v>280</v>
      </c>
      <c r="D698" s="14">
        <f>C698-B698</f>
        <v>40</v>
      </c>
      <c r="E698" s="15">
        <f>C698/B698</f>
        <v>1.1666666666666667</v>
      </c>
      <c r="F698" s="82"/>
      <c r="G698" s="82"/>
      <c r="H698" s="81"/>
      <c r="I698" s="81"/>
      <c r="J698" s="27" t="s">
        <v>519</v>
      </c>
    </row>
    <row r="699" spans="1:10" ht="89.25">
      <c r="A699" s="247" t="s">
        <v>520</v>
      </c>
      <c r="B699" s="8">
        <v>4</v>
      </c>
      <c r="C699" s="91">
        <v>4</v>
      </c>
      <c r="D699" s="14">
        <v>0</v>
      </c>
      <c r="E699" s="15">
        <f>C699/B699</f>
        <v>1</v>
      </c>
      <c r="F699" s="82"/>
      <c r="G699" s="82"/>
      <c r="H699" s="81"/>
      <c r="I699" s="81"/>
      <c r="J699" s="27"/>
    </row>
    <row r="700" spans="1:10" ht="25.5">
      <c r="A700" s="247" t="s">
        <v>196</v>
      </c>
      <c r="B700" s="88">
        <v>75</v>
      </c>
      <c r="C700" s="8">
        <v>70</v>
      </c>
      <c r="D700" s="14">
        <f>C700-B700</f>
        <v>-5</v>
      </c>
      <c r="E700" s="15">
        <f>C700/B700</f>
        <v>0.9333333333333333</v>
      </c>
      <c r="F700" s="82"/>
      <c r="G700" s="82"/>
      <c r="H700" s="81"/>
      <c r="I700" s="81"/>
      <c r="J700" s="27" t="s">
        <v>523</v>
      </c>
    </row>
    <row r="701" spans="1:10" ht="76.5">
      <c r="A701" s="247" t="s">
        <v>65</v>
      </c>
      <c r="B701" s="88">
        <v>100</v>
      </c>
      <c r="C701" s="8">
        <v>100</v>
      </c>
      <c r="D701" s="14">
        <f>C701-B701</f>
        <v>0</v>
      </c>
      <c r="E701" s="15">
        <f aca="true" t="shared" si="49" ref="E701:E708">C701/B701</f>
        <v>1</v>
      </c>
      <c r="F701" s="82"/>
      <c r="G701" s="82"/>
      <c r="H701" s="81"/>
      <c r="I701" s="81"/>
      <c r="J701" s="27"/>
    </row>
    <row r="702" spans="1:10" ht="267.75">
      <c r="A702" s="247" t="s">
        <v>2</v>
      </c>
      <c r="B702" s="88">
        <v>100</v>
      </c>
      <c r="C702" s="8">
        <v>100</v>
      </c>
      <c r="D702" s="14">
        <f>C702-B702</f>
        <v>0</v>
      </c>
      <c r="E702" s="15">
        <f t="shared" si="49"/>
        <v>1</v>
      </c>
      <c r="F702" s="82"/>
      <c r="G702" s="82"/>
      <c r="H702" s="81"/>
      <c r="I702" s="81"/>
      <c r="J702" s="27"/>
    </row>
    <row r="703" spans="1:10" ht="63.75">
      <c r="A703" s="247" t="s">
        <v>66</v>
      </c>
      <c r="B703" s="85">
        <v>51</v>
      </c>
      <c r="C703" s="89">
        <f>(851+258+422+53+1213)/5516*100</f>
        <v>50.7070340826686</v>
      </c>
      <c r="D703" s="309">
        <f>C703-B703</f>
        <v>-0.29296591733140076</v>
      </c>
      <c r="E703" s="15">
        <f>B703/C703</f>
        <v>1.0057776188773686</v>
      </c>
      <c r="F703" s="82"/>
      <c r="G703" s="82"/>
      <c r="H703" s="81"/>
      <c r="I703" s="81"/>
      <c r="J703" s="27"/>
    </row>
    <row r="704" spans="1:10" ht="76.5">
      <c r="A704" s="247" t="s">
        <v>439</v>
      </c>
      <c r="B704" s="88">
        <v>33.33</v>
      </c>
      <c r="C704" s="86">
        <f>3/9*100</f>
        <v>33.33333333333333</v>
      </c>
      <c r="D704" s="309">
        <f>C704-B704</f>
        <v>0.0033333333333303017</v>
      </c>
      <c r="E704" s="15">
        <f t="shared" si="49"/>
        <v>1.000100010001</v>
      </c>
      <c r="F704" s="82"/>
      <c r="G704" s="82"/>
      <c r="H704" s="81"/>
      <c r="I704" s="81"/>
      <c r="J704" s="27"/>
    </row>
    <row r="705" spans="1:10" ht="51">
      <c r="A705" s="25" t="s">
        <v>526</v>
      </c>
      <c r="B705" s="8">
        <v>33</v>
      </c>
      <c r="C705" s="8">
        <v>37</v>
      </c>
      <c r="D705" s="14">
        <v>0</v>
      </c>
      <c r="E705" s="15">
        <f t="shared" si="49"/>
        <v>1.121212121212121</v>
      </c>
      <c r="F705" s="82"/>
      <c r="G705" s="82"/>
      <c r="H705" s="81"/>
      <c r="I705" s="81"/>
      <c r="J705" s="27" t="s">
        <v>527</v>
      </c>
    </row>
    <row r="706" spans="1:10" ht="127.5">
      <c r="A706" s="25" t="s">
        <v>528</v>
      </c>
      <c r="B706" s="8">
        <v>11.11</v>
      </c>
      <c r="C706" s="86">
        <f>1/9*100</f>
        <v>11.11111111111111</v>
      </c>
      <c r="D706" s="14">
        <v>0</v>
      </c>
      <c r="E706" s="15">
        <f t="shared" si="49"/>
        <v>1.000100010001</v>
      </c>
      <c r="F706" s="82"/>
      <c r="G706" s="82"/>
      <c r="H706" s="81"/>
      <c r="I706" s="81"/>
      <c r="J706" s="27"/>
    </row>
    <row r="707" spans="1:10" ht="89.25">
      <c r="A707" s="25" t="s">
        <v>689</v>
      </c>
      <c r="B707" s="88">
        <v>100</v>
      </c>
      <c r="C707" s="8">
        <v>100</v>
      </c>
      <c r="D707" s="14">
        <f>C707-B707</f>
        <v>0</v>
      </c>
      <c r="E707" s="15">
        <f t="shared" si="49"/>
        <v>1</v>
      </c>
      <c r="F707" s="82"/>
      <c r="G707" s="82"/>
      <c r="H707" s="81"/>
      <c r="I707" s="81"/>
      <c r="J707" s="27"/>
    </row>
    <row r="708" spans="1:10" ht="89.25">
      <c r="A708" s="25" t="s">
        <v>690</v>
      </c>
      <c r="B708" s="88">
        <v>66.6</v>
      </c>
      <c r="C708" s="8">
        <f>+B708</f>
        <v>66.6</v>
      </c>
      <c r="D708" s="14">
        <f>C708-B708</f>
        <v>0</v>
      </c>
      <c r="E708" s="15">
        <f t="shared" si="49"/>
        <v>1</v>
      </c>
      <c r="F708" s="82"/>
      <c r="G708" s="82"/>
      <c r="H708" s="81"/>
      <c r="I708" s="81"/>
      <c r="J708" s="27"/>
    </row>
    <row r="709" spans="1:10" ht="76.5">
      <c r="A709" s="247" t="s">
        <v>67</v>
      </c>
      <c r="B709" s="88">
        <v>100</v>
      </c>
      <c r="C709" s="8">
        <v>100</v>
      </c>
      <c r="D709" s="14">
        <f>C709-B709</f>
        <v>0</v>
      </c>
      <c r="E709" s="15">
        <f>C709/B709</f>
        <v>1</v>
      </c>
      <c r="F709" s="82"/>
      <c r="G709" s="82"/>
      <c r="H709" s="81"/>
      <c r="I709" s="81"/>
      <c r="J709" s="27"/>
    </row>
    <row r="710" spans="1:10" ht="63.75">
      <c r="A710" s="25" t="s">
        <v>529</v>
      </c>
      <c r="B710" s="8">
        <v>8</v>
      </c>
      <c r="C710" s="8">
        <v>8</v>
      </c>
      <c r="D710" s="14">
        <v>0</v>
      </c>
      <c r="E710" s="15">
        <f>C710/B710</f>
        <v>1</v>
      </c>
      <c r="F710" s="82"/>
      <c r="G710" s="82"/>
      <c r="H710" s="81"/>
      <c r="I710" s="81"/>
      <c r="J710" s="27"/>
    </row>
    <row r="711" spans="1:10" ht="102">
      <c r="A711" s="25" t="s">
        <v>530</v>
      </c>
      <c r="B711" s="8">
        <v>100</v>
      </c>
      <c r="C711" s="8">
        <v>100</v>
      </c>
      <c r="D711" s="14">
        <v>0</v>
      </c>
      <c r="E711" s="15">
        <f>C711/B711</f>
        <v>1</v>
      </c>
      <c r="F711" s="82"/>
      <c r="G711" s="82"/>
      <c r="H711" s="81"/>
      <c r="I711" s="81"/>
      <c r="J711" s="27"/>
    </row>
    <row r="712" spans="1:10" ht="114.75">
      <c r="A712" s="25" t="s">
        <v>531</v>
      </c>
      <c r="B712" s="8">
        <v>100</v>
      </c>
      <c r="C712" s="8">
        <v>100</v>
      </c>
      <c r="D712" s="14">
        <v>0</v>
      </c>
      <c r="E712" s="15">
        <f aca="true" t="shared" si="50" ref="E712:E717">C712/B712</f>
        <v>1</v>
      </c>
      <c r="F712" s="82"/>
      <c r="G712" s="82"/>
      <c r="H712" s="81"/>
      <c r="I712" s="81"/>
      <c r="J712" s="27"/>
    </row>
    <row r="713" spans="1:10" ht="48">
      <c r="A713" s="25" t="s">
        <v>438</v>
      </c>
      <c r="B713" s="88">
        <v>90</v>
      </c>
      <c r="C713" s="8">
        <v>92.2</v>
      </c>
      <c r="D713" s="14">
        <f>C713-B713</f>
        <v>2.200000000000003</v>
      </c>
      <c r="E713" s="15">
        <f t="shared" si="50"/>
        <v>1.0244444444444445</v>
      </c>
      <c r="F713" s="82"/>
      <c r="G713" s="82"/>
      <c r="H713" s="81"/>
      <c r="I713" s="81"/>
      <c r="J713" s="27" t="s">
        <v>534</v>
      </c>
    </row>
    <row r="714" spans="1:10" ht="114.75">
      <c r="A714" s="25" t="s">
        <v>535</v>
      </c>
      <c r="B714" s="8">
        <v>100</v>
      </c>
      <c r="C714" s="8">
        <v>99.7</v>
      </c>
      <c r="D714" s="14">
        <v>0</v>
      </c>
      <c r="E714" s="15">
        <f t="shared" si="50"/>
        <v>0.997</v>
      </c>
      <c r="F714" s="82"/>
      <c r="G714" s="82"/>
      <c r="H714" s="82"/>
      <c r="I714" s="82"/>
      <c r="J714" s="407" t="s">
        <v>536</v>
      </c>
    </row>
    <row r="715" spans="1:10" ht="76.5">
      <c r="A715" s="247" t="s">
        <v>691</v>
      </c>
      <c r="B715" s="88">
        <v>0.86</v>
      </c>
      <c r="C715" s="8">
        <v>0</v>
      </c>
      <c r="D715" s="14">
        <f>C715-B715</f>
        <v>-0.86</v>
      </c>
      <c r="E715" s="15">
        <f t="shared" si="50"/>
        <v>0</v>
      </c>
      <c r="F715" s="82"/>
      <c r="G715" s="82"/>
      <c r="H715" s="81"/>
      <c r="I715" s="81"/>
      <c r="J715" s="27" t="s">
        <v>510</v>
      </c>
    </row>
    <row r="716" spans="1:10" ht="76.5">
      <c r="A716" s="247" t="s">
        <v>69</v>
      </c>
      <c r="B716" s="88">
        <v>1.29</v>
      </c>
      <c r="C716" s="8">
        <v>0.009</v>
      </c>
      <c r="D716" s="14">
        <f>C716-B716</f>
        <v>-1.2810000000000001</v>
      </c>
      <c r="E716" s="15">
        <f>C716/B716</f>
        <v>0.006976744186046511</v>
      </c>
      <c r="F716" s="82"/>
      <c r="G716" s="82"/>
      <c r="H716" s="81"/>
      <c r="I716" s="81"/>
      <c r="J716" s="27" t="s">
        <v>510</v>
      </c>
    </row>
    <row r="717" spans="1:10" ht="60">
      <c r="A717" s="247" t="s">
        <v>155</v>
      </c>
      <c r="B717" s="88">
        <v>30</v>
      </c>
      <c r="C717" s="8">
        <v>45</v>
      </c>
      <c r="D717" s="14">
        <f>C717-B717</f>
        <v>15</v>
      </c>
      <c r="E717" s="15">
        <f t="shared" si="50"/>
        <v>1.5</v>
      </c>
      <c r="F717" s="82"/>
      <c r="G717" s="82"/>
      <c r="H717" s="81"/>
      <c r="I717" s="81"/>
      <c r="J717" s="27" t="s">
        <v>539</v>
      </c>
    </row>
    <row r="718" spans="1:10" ht="12.75">
      <c r="A718" s="251" t="s">
        <v>215</v>
      </c>
      <c r="B718" s="152">
        <f>SUM(B696:B717)</f>
        <v>1544.1899999999998</v>
      </c>
      <c r="C718" s="152">
        <f>SUM(C696:C717)</f>
        <v>1597.6604785271131</v>
      </c>
      <c r="D718" s="152">
        <f>C718-B718</f>
        <v>53.4704785271133</v>
      </c>
      <c r="E718" s="151">
        <f>C718/B718</f>
        <v>1.034626877862901</v>
      </c>
      <c r="F718" s="152">
        <f>SUM(F674:F695)</f>
        <v>769784470</v>
      </c>
      <c r="G718" s="152">
        <f>SUM(G674:G695)</f>
        <v>766691912.61</v>
      </c>
      <c r="H718" s="148">
        <f>(H674+H675+H676+H677+H678+H679+H680+H681+H682+H684+H685+H686+H687+H688+H689+H690+H691+H692+H693+H694+H695)/21</f>
        <v>0.9704885832049855</v>
      </c>
      <c r="I718" s="148">
        <f>E718/H718</f>
        <v>1.066088664789958</v>
      </c>
      <c r="J718" s="447"/>
    </row>
    <row r="719" spans="1:10" ht="25.5">
      <c r="A719" s="289" t="s">
        <v>218</v>
      </c>
      <c r="B719" s="290"/>
      <c r="C719" s="290"/>
      <c r="D719" s="290"/>
      <c r="E719" s="291"/>
      <c r="F719" s="122">
        <f>F718/F885</f>
        <v>0.30361601250472803</v>
      </c>
      <c r="G719" s="122">
        <f>G718/G885</f>
        <v>0.30563763328078625</v>
      </c>
      <c r="H719" s="118"/>
      <c r="I719" s="119"/>
      <c r="J719" s="448"/>
    </row>
    <row r="720" spans="1:13" s="160" customFormat="1" ht="12.75" customHeight="1">
      <c r="A720" s="537" t="s">
        <v>470</v>
      </c>
      <c r="B720" s="537"/>
      <c r="C720" s="537"/>
      <c r="D720" s="537"/>
      <c r="E720" s="537"/>
      <c r="F720" s="537"/>
      <c r="G720" s="537"/>
      <c r="H720" s="537"/>
      <c r="I720" s="537"/>
      <c r="J720" s="537"/>
      <c r="K720" s="159"/>
      <c r="L720" s="159"/>
      <c r="M720" s="159"/>
    </row>
    <row r="721" spans="1:13" s="160" customFormat="1" ht="18.75" customHeight="1">
      <c r="A721" s="561" t="s">
        <v>86</v>
      </c>
      <c r="B721" s="561"/>
      <c r="C721" s="561"/>
      <c r="D721" s="561"/>
      <c r="E721" s="561"/>
      <c r="F721" s="561"/>
      <c r="G721" s="561"/>
      <c r="H721" s="561"/>
      <c r="I721" s="561"/>
      <c r="J721" s="561"/>
      <c r="K721" s="159"/>
      <c r="L721" s="159"/>
      <c r="M721" s="159"/>
    </row>
    <row r="722" spans="1:53" s="160" customFormat="1" ht="27" customHeight="1">
      <c r="A722" s="48" t="s">
        <v>465</v>
      </c>
      <c r="B722" s="4"/>
      <c r="C722" s="4"/>
      <c r="D722" s="4"/>
      <c r="E722" s="4"/>
      <c r="F722" s="4">
        <v>352200</v>
      </c>
      <c r="G722" s="4">
        <v>352200</v>
      </c>
      <c r="H722" s="512">
        <f>G722/F722</f>
        <v>1</v>
      </c>
      <c r="I722" s="4"/>
      <c r="J722" s="393"/>
      <c r="K722" s="162"/>
      <c r="L722" s="162"/>
      <c r="M722" s="162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3"/>
      <c r="AA722" s="163"/>
      <c r="AB722" s="163"/>
      <c r="AC722" s="163"/>
      <c r="AD722" s="163"/>
      <c r="AE722" s="163"/>
      <c r="AF722" s="163"/>
      <c r="AG722" s="163"/>
      <c r="AH722" s="163"/>
      <c r="AI722" s="163"/>
      <c r="AJ722" s="163"/>
      <c r="AK722" s="163"/>
      <c r="AL722" s="163"/>
      <c r="AM722" s="163"/>
      <c r="AN722" s="163"/>
      <c r="AO722" s="163"/>
      <c r="AP722" s="163"/>
      <c r="AQ722" s="163"/>
      <c r="AR722" s="163"/>
      <c r="AS722" s="163"/>
      <c r="AT722" s="163"/>
      <c r="AU722" s="163"/>
      <c r="AV722" s="163"/>
      <c r="AW722" s="163"/>
      <c r="AX722" s="163"/>
      <c r="AY722" s="163"/>
      <c r="AZ722" s="163"/>
      <c r="BA722" s="163"/>
    </row>
    <row r="723" spans="1:53" s="160" customFormat="1" ht="71.25" customHeight="1">
      <c r="A723" s="48" t="s">
        <v>172</v>
      </c>
      <c r="B723" s="35">
        <v>43.06</v>
      </c>
      <c r="C723" s="9">
        <v>43.06</v>
      </c>
      <c r="D723" s="172">
        <f>SUM(C723-B723)</f>
        <v>0</v>
      </c>
      <c r="E723" s="7">
        <f>C723/B723</f>
        <v>1</v>
      </c>
      <c r="F723" s="4"/>
      <c r="G723" s="4"/>
      <c r="H723" s="4"/>
      <c r="I723" s="4"/>
      <c r="J723" s="393"/>
      <c r="K723" s="162"/>
      <c r="L723" s="162"/>
      <c r="M723" s="162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  <c r="AA723" s="163"/>
      <c r="AB723" s="163"/>
      <c r="AC723" s="163"/>
      <c r="AD723" s="163"/>
      <c r="AE723" s="163"/>
      <c r="AF723" s="163"/>
      <c r="AG723" s="163"/>
      <c r="AH723" s="163"/>
      <c r="AI723" s="163"/>
      <c r="AJ723" s="163"/>
      <c r="AK723" s="163"/>
      <c r="AL723" s="163"/>
      <c r="AM723" s="163"/>
      <c r="AN723" s="163"/>
      <c r="AO723" s="163"/>
      <c r="AP723" s="163"/>
      <c r="AQ723" s="163"/>
      <c r="AR723" s="163"/>
      <c r="AS723" s="163"/>
      <c r="AT723" s="163"/>
      <c r="AU723" s="163"/>
      <c r="AV723" s="163"/>
      <c r="AW723" s="163"/>
      <c r="AX723" s="163"/>
      <c r="AY723" s="163"/>
      <c r="AZ723" s="163"/>
      <c r="BA723" s="163"/>
    </row>
    <row r="724" spans="1:53" s="160" customFormat="1" ht="51.75" customHeight="1">
      <c r="A724" s="48" t="s">
        <v>173</v>
      </c>
      <c r="B724" s="35">
        <v>9.5</v>
      </c>
      <c r="C724" s="9">
        <v>9.5</v>
      </c>
      <c r="D724" s="172">
        <f aca="true" t="shared" si="51" ref="D724:D739">SUM(C724-B724)</f>
        <v>0</v>
      </c>
      <c r="E724" s="7">
        <f aca="true" t="shared" si="52" ref="E724:E739">SUM(C724/B724)</f>
        <v>1</v>
      </c>
      <c r="F724" s="4"/>
      <c r="G724" s="4"/>
      <c r="H724" s="4"/>
      <c r="I724" s="4"/>
      <c r="J724" s="393"/>
      <c r="K724" s="162"/>
      <c r="L724" s="162"/>
      <c r="M724" s="162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3"/>
      <c r="AA724" s="163"/>
      <c r="AB724" s="163"/>
      <c r="AC724" s="163"/>
      <c r="AD724" s="163"/>
      <c r="AE724" s="163"/>
      <c r="AF724" s="163"/>
      <c r="AG724" s="163"/>
      <c r="AH724" s="163"/>
      <c r="AI724" s="163"/>
      <c r="AJ724" s="163"/>
      <c r="AK724" s="163"/>
      <c r="AL724" s="163"/>
      <c r="AM724" s="163"/>
      <c r="AN724" s="163"/>
      <c r="AO724" s="163"/>
      <c r="AP724" s="163"/>
      <c r="AQ724" s="163"/>
      <c r="AR724" s="163"/>
      <c r="AS724" s="163"/>
      <c r="AT724" s="163"/>
      <c r="AU724" s="163"/>
      <c r="AV724" s="163"/>
      <c r="AW724" s="163"/>
      <c r="AX724" s="163"/>
      <c r="AY724" s="163"/>
      <c r="AZ724" s="163"/>
      <c r="BA724" s="163"/>
    </row>
    <row r="725" spans="1:53" s="160" customFormat="1" ht="48.75" customHeight="1">
      <c r="A725" s="48" t="s">
        <v>174</v>
      </c>
      <c r="B725" s="35">
        <v>68.55</v>
      </c>
      <c r="C725" s="9">
        <v>68.55</v>
      </c>
      <c r="D725" s="172">
        <f t="shared" si="51"/>
        <v>0</v>
      </c>
      <c r="E725" s="7">
        <f t="shared" si="52"/>
        <v>1</v>
      </c>
      <c r="F725" s="4"/>
      <c r="G725" s="4"/>
      <c r="H725" s="4"/>
      <c r="I725" s="4"/>
      <c r="J725" s="393"/>
      <c r="K725" s="162"/>
      <c r="L725" s="162"/>
      <c r="M725" s="162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3"/>
      <c r="AA725" s="163"/>
      <c r="AB725" s="163"/>
      <c r="AC725" s="163"/>
      <c r="AD725" s="163"/>
      <c r="AE725" s="163"/>
      <c r="AF725" s="163"/>
      <c r="AG725" s="163"/>
      <c r="AH725" s="163"/>
      <c r="AI725" s="163"/>
      <c r="AJ725" s="163"/>
      <c r="AK725" s="163"/>
      <c r="AL725" s="163"/>
      <c r="AM725" s="163"/>
      <c r="AN725" s="163"/>
      <c r="AO725" s="163"/>
      <c r="AP725" s="163"/>
      <c r="AQ725" s="163"/>
      <c r="AR725" s="163"/>
      <c r="AS725" s="163"/>
      <c r="AT725" s="163"/>
      <c r="AU725" s="163"/>
      <c r="AV725" s="163"/>
      <c r="AW725" s="163"/>
      <c r="AX725" s="163"/>
      <c r="AY725" s="163"/>
      <c r="AZ725" s="163"/>
      <c r="BA725" s="163"/>
    </row>
    <row r="726" spans="1:53" s="160" customFormat="1" ht="39" customHeight="1">
      <c r="A726" s="48" t="s">
        <v>175</v>
      </c>
      <c r="B726" s="35">
        <v>57.1</v>
      </c>
      <c r="C726" s="9">
        <v>57.1</v>
      </c>
      <c r="D726" s="172">
        <f t="shared" si="51"/>
        <v>0</v>
      </c>
      <c r="E726" s="7">
        <f t="shared" si="52"/>
        <v>1</v>
      </c>
      <c r="F726" s="4"/>
      <c r="G726" s="4"/>
      <c r="H726" s="4"/>
      <c r="I726" s="4"/>
      <c r="J726" s="393"/>
      <c r="K726" s="162"/>
      <c r="L726" s="162"/>
      <c r="M726" s="162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3"/>
      <c r="AA726" s="163"/>
      <c r="AB726" s="163"/>
      <c r="AC726" s="163"/>
      <c r="AD726" s="163"/>
      <c r="AE726" s="163"/>
      <c r="AF726" s="163"/>
      <c r="AG726" s="163"/>
      <c r="AH726" s="163"/>
      <c r="AI726" s="163"/>
      <c r="AJ726" s="163"/>
      <c r="AK726" s="163"/>
      <c r="AL726" s="163"/>
      <c r="AM726" s="163"/>
      <c r="AN726" s="163"/>
      <c r="AO726" s="163"/>
      <c r="AP726" s="163"/>
      <c r="AQ726" s="163"/>
      <c r="AR726" s="163"/>
      <c r="AS726" s="163"/>
      <c r="AT726" s="163"/>
      <c r="AU726" s="163"/>
      <c r="AV726" s="163"/>
      <c r="AW726" s="163"/>
      <c r="AX726" s="163"/>
      <c r="AY726" s="163"/>
      <c r="AZ726" s="163"/>
      <c r="BA726" s="163"/>
    </row>
    <row r="727" spans="1:53" s="160" customFormat="1" ht="38.25">
      <c r="A727" s="48" t="s">
        <v>634</v>
      </c>
      <c r="B727" s="138">
        <v>326</v>
      </c>
      <c r="C727" s="172">
        <v>326</v>
      </c>
      <c r="D727" s="172">
        <f t="shared" si="51"/>
        <v>0</v>
      </c>
      <c r="E727" s="7">
        <f t="shared" si="52"/>
        <v>1</v>
      </c>
      <c r="F727" s="4"/>
      <c r="G727" s="4"/>
      <c r="H727" s="4"/>
      <c r="I727" s="4"/>
      <c r="J727" s="393"/>
      <c r="K727" s="162"/>
      <c r="L727" s="162"/>
      <c r="M727" s="162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3"/>
      <c r="AA727" s="163"/>
      <c r="AB727" s="163"/>
      <c r="AC727" s="163"/>
      <c r="AD727" s="163"/>
      <c r="AE727" s="163"/>
      <c r="AF727" s="163"/>
      <c r="AG727" s="163"/>
      <c r="AH727" s="163"/>
      <c r="AI727" s="163"/>
      <c r="AJ727" s="163"/>
      <c r="AK727" s="163"/>
      <c r="AL727" s="163"/>
      <c r="AM727" s="163"/>
      <c r="AN727" s="163"/>
      <c r="AO727" s="163"/>
      <c r="AP727" s="163"/>
      <c r="AQ727" s="163"/>
      <c r="AR727" s="163"/>
      <c r="AS727" s="163"/>
      <c r="AT727" s="163"/>
      <c r="AU727" s="163"/>
      <c r="AV727" s="163"/>
      <c r="AW727" s="163"/>
      <c r="AX727" s="163"/>
      <c r="AY727" s="163"/>
      <c r="AZ727" s="163"/>
      <c r="BA727" s="163"/>
    </row>
    <row r="728" spans="1:53" s="160" customFormat="1" ht="29.25" customHeight="1">
      <c r="A728" s="48" t="s">
        <v>157</v>
      </c>
      <c r="B728" s="138">
        <v>3</v>
      </c>
      <c r="C728" s="172">
        <v>3</v>
      </c>
      <c r="D728" s="172">
        <f t="shared" si="51"/>
        <v>0</v>
      </c>
      <c r="E728" s="7">
        <f t="shared" si="52"/>
        <v>1</v>
      </c>
      <c r="F728" s="4"/>
      <c r="G728" s="4"/>
      <c r="H728" s="4"/>
      <c r="I728" s="4"/>
      <c r="J728" s="393"/>
      <c r="K728" s="162"/>
      <c r="L728" s="162"/>
      <c r="M728" s="162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  <c r="AA728" s="163"/>
      <c r="AB728" s="163"/>
      <c r="AC728" s="163"/>
      <c r="AD728" s="163"/>
      <c r="AE728" s="163"/>
      <c r="AF728" s="163"/>
      <c r="AG728" s="163"/>
      <c r="AH728" s="163"/>
      <c r="AI728" s="163"/>
      <c r="AJ728" s="163"/>
      <c r="AK728" s="163"/>
      <c r="AL728" s="163"/>
      <c r="AM728" s="163"/>
      <c r="AN728" s="163"/>
      <c r="AO728" s="163"/>
      <c r="AP728" s="163"/>
      <c r="AQ728" s="163"/>
      <c r="AR728" s="163"/>
      <c r="AS728" s="163"/>
      <c r="AT728" s="163"/>
      <c r="AU728" s="163"/>
      <c r="AV728" s="163"/>
      <c r="AW728" s="163"/>
      <c r="AX728" s="163"/>
      <c r="AY728" s="163"/>
      <c r="AZ728" s="163"/>
      <c r="BA728" s="163"/>
    </row>
    <row r="729" spans="1:53" s="160" customFormat="1" ht="43.5" customHeight="1">
      <c r="A729" s="207" t="s">
        <v>635</v>
      </c>
      <c r="B729" s="172">
        <v>17283</v>
      </c>
      <c r="C729" s="172">
        <v>17283</v>
      </c>
      <c r="D729" s="172">
        <f t="shared" si="51"/>
        <v>0</v>
      </c>
      <c r="E729" s="7">
        <f t="shared" si="52"/>
        <v>1</v>
      </c>
      <c r="F729" s="4"/>
      <c r="G729" s="4"/>
      <c r="H729" s="4"/>
      <c r="I729" s="4"/>
      <c r="J729" s="393"/>
      <c r="K729" s="162"/>
      <c r="L729" s="162"/>
      <c r="M729" s="162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  <c r="AA729" s="163"/>
      <c r="AB729" s="163"/>
      <c r="AC729" s="163"/>
      <c r="AD729" s="163"/>
      <c r="AE729" s="163"/>
      <c r="AF729" s="163"/>
      <c r="AG729" s="163"/>
      <c r="AH729" s="163"/>
      <c r="AI729" s="163"/>
      <c r="AJ729" s="163"/>
      <c r="AK729" s="163"/>
      <c r="AL729" s="163"/>
      <c r="AM729" s="163"/>
      <c r="AN729" s="163"/>
      <c r="AO729" s="163"/>
      <c r="AP729" s="163"/>
      <c r="AQ729" s="163"/>
      <c r="AR729" s="163"/>
      <c r="AS729" s="163"/>
      <c r="AT729" s="163"/>
      <c r="AU729" s="163"/>
      <c r="AV729" s="163"/>
      <c r="AW729" s="163"/>
      <c r="AX729" s="163"/>
      <c r="AY729" s="163"/>
      <c r="AZ729" s="163"/>
      <c r="BA729" s="163"/>
    </row>
    <row r="730" spans="1:53" s="160" customFormat="1" ht="38.25">
      <c r="A730" s="48" t="s">
        <v>177</v>
      </c>
      <c r="B730" s="138">
        <v>130</v>
      </c>
      <c r="C730" s="172">
        <v>130</v>
      </c>
      <c r="D730" s="172">
        <f t="shared" si="51"/>
        <v>0</v>
      </c>
      <c r="E730" s="7">
        <f t="shared" si="52"/>
        <v>1</v>
      </c>
      <c r="F730" s="4"/>
      <c r="G730" s="4"/>
      <c r="H730" s="4"/>
      <c r="I730" s="4"/>
      <c r="J730" s="393"/>
      <c r="K730" s="162"/>
      <c r="L730" s="162"/>
      <c r="M730" s="162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  <c r="AA730" s="163"/>
      <c r="AB730" s="163"/>
      <c r="AC730" s="163"/>
      <c r="AD730" s="163"/>
      <c r="AE730" s="163"/>
      <c r="AF730" s="163"/>
      <c r="AG730" s="163"/>
      <c r="AH730" s="163"/>
      <c r="AI730" s="163"/>
      <c r="AJ730" s="163"/>
      <c r="AK730" s="163"/>
      <c r="AL730" s="163"/>
      <c r="AM730" s="163"/>
      <c r="AN730" s="163"/>
      <c r="AO730" s="163"/>
      <c r="AP730" s="163"/>
      <c r="AQ730" s="163"/>
      <c r="AR730" s="163"/>
      <c r="AS730" s="163"/>
      <c r="AT730" s="163"/>
      <c r="AU730" s="163"/>
      <c r="AV730" s="163"/>
      <c r="AW730" s="163"/>
      <c r="AX730" s="163"/>
      <c r="AY730" s="163"/>
      <c r="AZ730" s="163"/>
      <c r="BA730" s="163"/>
    </row>
    <row r="731" spans="1:53" s="160" customFormat="1" ht="51">
      <c r="A731" s="207" t="s">
        <v>636</v>
      </c>
      <c r="B731" s="138">
        <v>55</v>
      </c>
      <c r="C731" s="172">
        <v>55</v>
      </c>
      <c r="D731" s="172">
        <f t="shared" si="51"/>
        <v>0</v>
      </c>
      <c r="E731" s="7">
        <f t="shared" si="52"/>
        <v>1</v>
      </c>
      <c r="F731" s="4"/>
      <c r="G731" s="4"/>
      <c r="H731" s="4"/>
      <c r="I731" s="4"/>
      <c r="J731" s="393"/>
      <c r="K731" s="162"/>
      <c r="L731" s="162"/>
      <c r="M731" s="162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3"/>
      <c r="AA731" s="163"/>
      <c r="AB731" s="163"/>
      <c r="AC731" s="163"/>
      <c r="AD731" s="163"/>
      <c r="AE731" s="163"/>
      <c r="AF731" s="163"/>
      <c r="AG731" s="163"/>
      <c r="AH731" s="163"/>
      <c r="AI731" s="163"/>
      <c r="AJ731" s="163"/>
      <c r="AK731" s="163"/>
      <c r="AL731" s="163"/>
      <c r="AM731" s="163"/>
      <c r="AN731" s="163"/>
      <c r="AO731" s="163"/>
      <c r="AP731" s="163"/>
      <c r="AQ731" s="163"/>
      <c r="AR731" s="163"/>
      <c r="AS731" s="163"/>
      <c r="AT731" s="163"/>
      <c r="AU731" s="163"/>
      <c r="AV731" s="163"/>
      <c r="AW731" s="163"/>
      <c r="AX731" s="163"/>
      <c r="AY731" s="163"/>
      <c r="AZ731" s="163"/>
      <c r="BA731" s="163"/>
    </row>
    <row r="732" spans="1:53" s="160" customFormat="1" ht="63.75">
      <c r="A732" s="48" t="s">
        <v>613</v>
      </c>
      <c r="B732" s="35">
        <v>33.14</v>
      </c>
      <c r="C732" s="9">
        <v>33.14</v>
      </c>
      <c r="D732" s="172">
        <f t="shared" si="51"/>
        <v>0</v>
      </c>
      <c r="E732" s="7">
        <f t="shared" si="52"/>
        <v>1</v>
      </c>
      <c r="F732" s="4"/>
      <c r="G732" s="4"/>
      <c r="H732" s="4"/>
      <c r="I732" s="4"/>
      <c r="J732" s="393"/>
      <c r="K732" s="162"/>
      <c r="L732" s="162"/>
      <c r="M732" s="162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3"/>
      <c r="AA732" s="163"/>
      <c r="AB732" s="163"/>
      <c r="AC732" s="163"/>
      <c r="AD732" s="163"/>
      <c r="AE732" s="163"/>
      <c r="AF732" s="163"/>
      <c r="AG732" s="163"/>
      <c r="AH732" s="163"/>
      <c r="AI732" s="163"/>
      <c r="AJ732" s="163"/>
      <c r="AK732" s="163"/>
      <c r="AL732" s="163"/>
      <c r="AM732" s="163"/>
      <c r="AN732" s="163"/>
      <c r="AO732" s="163"/>
      <c r="AP732" s="163"/>
      <c r="AQ732" s="163"/>
      <c r="AR732" s="163"/>
      <c r="AS732" s="163"/>
      <c r="AT732" s="163"/>
      <c r="AU732" s="163"/>
      <c r="AV732" s="163"/>
      <c r="AW732" s="163"/>
      <c r="AX732" s="163"/>
      <c r="AY732" s="163"/>
      <c r="AZ732" s="163"/>
      <c r="BA732" s="163"/>
    </row>
    <row r="733" spans="1:53" s="160" customFormat="1" ht="63.75">
      <c r="A733" s="48" t="s">
        <v>614</v>
      </c>
      <c r="B733" s="35">
        <v>22.43</v>
      </c>
      <c r="C733" s="9">
        <v>22.43</v>
      </c>
      <c r="D733" s="172">
        <f t="shared" si="51"/>
        <v>0</v>
      </c>
      <c r="E733" s="7">
        <f t="shared" si="52"/>
        <v>1</v>
      </c>
      <c r="F733" s="4"/>
      <c r="G733" s="4"/>
      <c r="H733" s="4"/>
      <c r="I733" s="4"/>
      <c r="J733" s="393"/>
      <c r="K733" s="162"/>
      <c r="L733" s="162"/>
      <c r="M733" s="162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3"/>
      <c r="AA733" s="163"/>
      <c r="AB733" s="163"/>
      <c r="AC733" s="163"/>
      <c r="AD733" s="163"/>
      <c r="AE733" s="163"/>
      <c r="AF733" s="163"/>
      <c r="AG733" s="163"/>
      <c r="AH733" s="163"/>
      <c r="AI733" s="163"/>
      <c r="AJ733" s="163"/>
      <c r="AK733" s="163"/>
      <c r="AL733" s="163"/>
      <c r="AM733" s="163"/>
      <c r="AN733" s="163"/>
      <c r="AO733" s="163"/>
      <c r="AP733" s="163"/>
      <c r="AQ733" s="163"/>
      <c r="AR733" s="163"/>
      <c r="AS733" s="163"/>
      <c r="AT733" s="163"/>
      <c r="AU733" s="163"/>
      <c r="AV733" s="163"/>
      <c r="AW733" s="163"/>
      <c r="AX733" s="163"/>
      <c r="AY733" s="163"/>
      <c r="AZ733" s="163"/>
      <c r="BA733" s="163"/>
    </row>
    <row r="734" spans="1:53" s="160" customFormat="1" ht="24" customHeight="1">
      <c r="A734" s="48" t="s">
        <v>156</v>
      </c>
      <c r="B734" s="138">
        <v>7</v>
      </c>
      <c r="C734" s="172">
        <v>7</v>
      </c>
      <c r="D734" s="172">
        <f t="shared" si="51"/>
        <v>0</v>
      </c>
      <c r="E734" s="7">
        <f t="shared" si="52"/>
        <v>1</v>
      </c>
      <c r="F734" s="4"/>
      <c r="G734" s="4"/>
      <c r="H734" s="4"/>
      <c r="I734" s="4"/>
      <c r="J734" s="393"/>
      <c r="K734" s="162"/>
      <c r="L734" s="162"/>
      <c r="M734" s="162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  <c r="AA734" s="163"/>
      <c r="AB734" s="163"/>
      <c r="AC734" s="163"/>
      <c r="AD734" s="163"/>
      <c r="AE734" s="163"/>
      <c r="AF734" s="163"/>
      <c r="AG734" s="163"/>
      <c r="AH734" s="163"/>
      <c r="AI734" s="163"/>
      <c r="AJ734" s="163"/>
      <c r="AK734" s="163"/>
      <c r="AL734" s="163"/>
      <c r="AM734" s="163"/>
      <c r="AN734" s="163"/>
      <c r="AO734" s="163"/>
      <c r="AP734" s="163"/>
      <c r="AQ734" s="163"/>
      <c r="AR734" s="163"/>
      <c r="AS734" s="163"/>
      <c r="AT734" s="163"/>
      <c r="AU734" s="163"/>
      <c r="AV734" s="163"/>
      <c r="AW734" s="163"/>
      <c r="AX734" s="163"/>
      <c r="AY734" s="163"/>
      <c r="AZ734" s="163"/>
      <c r="BA734" s="163"/>
    </row>
    <row r="735" spans="1:53" s="160" customFormat="1" ht="25.5">
      <c r="A735" s="164" t="s">
        <v>256</v>
      </c>
      <c r="B735" s="35">
        <v>20.14</v>
      </c>
      <c r="C735" s="9">
        <v>20.14</v>
      </c>
      <c r="D735" s="172">
        <f t="shared" si="51"/>
        <v>0</v>
      </c>
      <c r="E735" s="7">
        <f t="shared" si="52"/>
        <v>1</v>
      </c>
      <c r="F735" s="4"/>
      <c r="G735" s="4"/>
      <c r="H735" s="4"/>
      <c r="I735" s="4"/>
      <c r="J735" s="393"/>
      <c r="K735" s="162"/>
      <c r="L735" s="162"/>
      <c r="M735" s="162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  <c r="AA735" s="163"/>
      <c r="AB735" s="163"/>
      <c r="AC735" s="163"/>
      <c r="AD735" s="163"/>
      <c r="AE735" s="163"/>
      <c r="AF735" s="163"/>
      <c r="AG735" s="163"/>
      <c r="AH735" s="163"/>
      <c r="AI735" s="163"/>
      <c r="AJ735" s="163"/>
      <c r="AK735" s="163"/>
      <c r="AL735" s="163"/>
      <c r="AM735" s="163"/>
      <c r="AN735" s="163"/>
      <c r="AO735" s="163"/>
      <c r="AP735" s="163"/>
      <c r="AQ735" s="163"/>
      <c r="AR735" s="163"/>
      <c r="AS735" s="163"/>
      <c r="AT735" s="163"/>
      <c r="AU735" s="163"/>
      <c r="AV735" s="163"/>
      <c r="AW735" s="163"/>
      <c r="AX735" s="163"/>
      <c r="AY735" s="163"/>
      <c r="AZ735" s="163"/>
      <c r="BA735" s="163"/>
    </row>
    <row r="736" spans="1:53" s="160" customFormat="1" ht="48.75" customHeight="1">
      <c r="A736" s="48" t="s">
        <v>257</v>
      </c>
      <c r="B736" s="43">
        <v>891624</v>
      </c>
      <c r="C736" s="43">
        <v>891624</v>
      </c>
      <c r="D736" s="172">
        <f t="shared" si="51"/>
        <v>0</v>
      </c>
      <c r="E736" s="7">
        <f t="shared" si="52"/>
        <v>1</v>
      </c>
      <c r="F736" s="4"/>
      <c r="G736" s="4"/>
      <c r="H736" s="4"/>
      <c r="I736" s="4"/>
      <c r="J736" s="393"/>
      <c r="K736" s="162"/>
      <c r="L736" s="162"/>
      <c r="M736" s="162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3"/>
      <c r="AA736" s="163"/>
      <c r="AB736" s="163"/>
      <c r="AC736" s="163"/>
      <c r="AD736" s="163"/>
      <c r="AE736" s="163"/>
      <c r="AF736" s="163"/>
      <c r="AG736" s="163"/>
      <c r="AH736" s="163"/>
      <c r="AI736" s="163"/>
      <c r="AJ736" s="163"/>
      <c r="AK736" s="163"/>
      <c r="AL736" s="163"/>
      <c r="AM736" s="163"/>
      <c r="AN736" s="163"/>
      <c r="AO736" s="163"/>
      <c r="AP736" s="163"/>
      <c r="AQ736" s="163"/>
      <c r="AR736" s="163"/>
      <c r="AS736" s="163"/>
      <c r="AT736" s="163"/>
      <c r="AU736" s="163"/>
      <c r="AV736" s="163"/>
      <c r="AW736" s="163"/>
      <c r="AX736" s="163"/>
      <c r="AY736" s="163"/>
      <c r="AZ736" s="163"/>
      <c r="BA736" s="163"/>
    </row>
    <row r="737" spans="1:53" s="160" customFormat="1" ht="45.75" customHeight="1">
      <c r="A737" s="48" t="s">
        <v>471</v>
      </c>
      <c r="B737" s="35">
        <v>39.72</v>
      </c>
      <c r="C737" s="9">
        <v>39.72</v>
      </c>
      <c r="D737" s="172">
        <f t="shared" si="51"/>
        <v>0</v>
      </c>
      <c r="E737" s="7">
        <f t="shared" si="52"/>
        <v>1</v>
      </c>
      <c r="F737" s="4"/>
      <c r="G737" s="4"/>
      <c r="H737" s="4"/>
      <c r="I737" s="4"/>
      <c r="J737" s="393"/>
      <c r="K737" s="162"/>
      <c r="L737" s="162"/>
      <c r="M737" s="162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3"/>
      <c r="AA737" s="163"/>
      <c r="AB737" s="163"/>
      <c r="AC737" s="163"/>
      <c r="AD737" s="163"/>
      <c r="AE737" s="163"/>
      <c r="AF737" s="163"/>
      <c r="AG737" s="163"/>
      <c r="AH737" s="163"/>
      <c r="AI737" s="163"/>
      <c r="AJ737" s="163"/>
      <c r="AK737" s="163"/>
      <c r="AL737" s="163"/>
      <c r="AM737" s="163"/>
      <c r="AN737" s="163"/>
      <c r="AO737" s="163"/>
      <c r="AP737" s="163"/>
      <c r="AQ737" s="163"/>
      <c r="AR737" s="163"/>
      <c r="AS737" s="163"/>
      <c r="AT737" s="163"/>
      <c r="AU737" s="163"/>
      <c r="AV737" s="163"/>
      <c r="AW737" s="163"/>
      <c r="AX737" s="163"/>
      <c r="AY737" s="163"/>
      <c r="AZ737" s="163"/>
      <c r="BA737" s="163"/>
    </row>
    <row r="738" spans="1:53" s="160" customFormat="1" ht="30.75" customHeight="1">
      <c r="A738" s="48" t="s">
        <v>259</v>
      </c>
      <c r="B738" s="138">
        <v>5</v>
      </c>
      <c r="C738" s="172">
        <v>5</v>
      </c>
      <c r="D738" s="172">
        <f t="shared" si="51"/>
        <v>0</v>
      </c>
      <c r="E738" s="7">
        <f t="shared" si="52"/>
        <v>1</v>
      </c>
      <c r="F738" s="4"/>
      <c r="G738" s="4"/>
      <c r="H738" s="4"/>
      <c r="I738" s="4"/>
      <c r="J738" s="393"/>
      <c r="K738" s="162"/>
      <c r="L738" s="162"/>
      <c r="M738" s="162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3"/>
      <c r="AA738" s="163"/>
      <c r="AB738" s="163"/>
      <c r="AC738" s="163"/>
      <c r="AD738" s="163"/>
      <c r="AE738" s="163"/>
      <c r="AF738" s="163"/>
      <c r="AG738" s="163"/>
      <c r="AH738" s="163"/>
      <c r="AI738" s="163"/>
      <c r="AJ738" s="163"/>
      <c r="AK738" s="163"/>
      <c r="AL738" s="163"/>
      <c r="AM738" s="163"/>
      <c r="AN738" s="163"/>
      <c r="AO738" s="163"/>
      <c r="AP738" s="163"/>
      <c r="AQ738" s="163"/>
      <c r="AR738" s="163"/>
      <c r="AS738" s="163"/>
      <c r="AT738" s="163"/>
      <c r="AU738" s="163"/>
      <c r="AV738" s="163"/>
      <c r="AW738" s="163"/>
      <c r="AX738" s="163"/>
      <c r="AY738" s="163"/>
      <c r="AZ738" s="163"/>
      <c r="BA738" s="163"/>
    </row>
    <row r="739" spans="1:53" s="160" customFormat="1" ht="30" customHeight="1">
      <c r="A739" s="48" t="s">
        <v>549</v>
      </c>
      <c r="B739" s="138">
        <v>63</v>
      </c>
      <c r="C739" s="172">
        <v>63</v>
      </c>
      <c r="D739" s="172">
        <f t="shared" si="51"/>
        <v>0</v>
      </c>
      <c r="E739" s="7">
        <f t="shared" si="52"/>
        <v>1</v>
      </c>
      <c r="F739" s="4"/>
      <c r="G739" s="4"/>
      <c r="H739" s="4"/>
      <c r="I739" s="4"/>
      <c r="J739" s="393"/>
      <c r="K739" s="162"/>
      <c r="L739" s="162"/>
      <c r="M739" s="162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3"/>
      <c r="AA739" s="163"/>
      <c r="AB739" s="163"/>
      <c r="AC739" s="163"/>
      <c r="AD739" s="163"/>
      <c r="AE739" s="163"/>
      <c r="AF739" s="163"/>
      <c r="AG739" s="163"/>
      <c r="AH739" s="163"/>
      <c r="AI739" s="163"/>
      <c r="AJ739" s="163"/>
      <c r="AK739" s="163"/>
      <c r="AL739" s="163"/>
      <c r="AM739" s="163"/>
      <c r="AN739" s="163"/>
      <c r="AO739" s="163"/>
      <c r="AP739" s="163"/>
      <c r="AQ739" s="163"/>
      <c r="AR739" s="163"/>
      <c r="AS739" s="163"/>
      <c r="AT739" s="163"/>
      <c r="AU739" s="163"/>
      <c r="AV739" s="163"/>
      <c r="AW739" s="163"/>
      <c r="AX739" s="163"/>
      <c r="AY739" s="163"/>
      <c r="AZ739" s="163"/>
      <c r="BA739" s="163"/>
    </row>
    <row r="740" spans="1:13" s="160" customFormat="1" ht="12.75" customHeight="1">
      <c r="A740" s="106" t="s">
        <v>548</v>
      </c>
      <c r="B740" s="50">
        <f>SUM(B723:B739)</f>
        <v>909789.64</v>
      </c>
      <c r="C740" s="50">
        <f>SUM(C723:C739)</f>
        <v>909789.64</v>
      </c>
      <c r="D740" s="50">
        <f>C740-B740</f>
        <v>0</v>
      </c>
      <c r="E740" s="31">
        <f>C740/B740</f>
        <v>1</v>
      </c>
      <c r="F740" s="49">
        <f>SUM(F722:F723)</f>
        <v>352200</v>
      </c>
      <c r="G740" s="49">
        <f>SUM(G722:G723)</f>
        <v>352200</v>
      </c>
      <c r="H740" s="31">
        <f>G740/F740</f>
        <v>1</v>
      </c>
      <c r="I740" s="31">
        <f>E740/H740</f>
        <v>1</v>
      </c>
      <c r="J740" s="513"/>
      <c r="K740" s="159"/>
      <c r="L740" s="159"/>
      <c r="M740" s="159"/>
    </row>
    <row r="741" spans="1:13" s="160" customFormat="1" ht="25.5" customHeight="1">
      <c r="A741" s="560" t="s">
        <v>550</v>
      </c>
      <c r="B741" s="560"/>
      <c r="C741" s="560"/>
      <c r="D741" s="560"/>
      <c r="E741" s="560"/>
      <c r="F741" s="560"/>
      <c r="G741" s="560"/>
      <c r="H741" s="560"/>
      <c r="I741" s="560"/>
      <c r="J741" s="560"/>
      <c r="K741" s="159"/>
      <c r="L741" s="159"/>
      <c r="M741" s="159"/>
    </row>
    <row r="742" spans="1:13" s="160" customFormat="1" ht="25.5">
      <c r="A742" s="1" t="s">
        <v>263</v>
      </c>
      <c r="B742" s="63"/>
      <c r="C742" s="63"/>
      <c r="D742" s="63"/>
      <c r="E742" s="63"/>
      <c r="F742" s="171">
        <v>353500</v>
      </c>
      <c r="G742" s="171">
        <f>F742</f>
        <v>353500</v>
      </c>
      <c r="H742" s="7">
        <f>G742/F742</f>
        <v>1</v>
      </c>
      <c r="I742" s="161"/>
      <c r="J742" s="395"/>
      <c r="K742" s="159"/>
      <c r="L742" s="159"/>
      <c r="M742" s="159"/>
    </row>
    <row r="743" spans="1:13" s="160" customFormat="1" ht="28.5" customHeight="1">
      <c r="A743" s="1" t="s">
        <v>264</v>
      </c>
      <c r="B743" s="63"/>
      <c r="C743" s="63"/>
      <c r="D743" s="63"/>
      <c r="E743" s="63"/>
      <c r="F743" s="171">
        <v>528400</v>
      </c>
      <c r="G743" s="171">
        <v>528400</v>
      </c>
      <c r="H743" s="7">
        <f>G743/F743</f>
        <v>1</v>
      </c>
      <c r="I743" s="161"/>
      <c r="J743" s="395"/>
      <c r="K743" s="159"/>
      <c r="L743" s="159"/>
      <c r="M743" s="159"/>
    </row>
    <row r="744" spans="1:13" s="160" customFormat="1" ht="28.5" customHeight="1">
      <c r="A744" s="1" t="s">
        <v>466</v>
      </c>
      <c r="B744" s="63"/>
      <c r="C744" s="63"/>
      <c r="D744" s="63"/>
      <c r="E744" s="63"/>
      <c r="F744" s="171">
        <v>10800000</v>
      </c>
      <c r="G744" s="171">
        <f>F744</f>
        <v>10800000</v>
      </c>
      <c r="H744" s="7">
        <f>G744/F744</f>
        <v>1</v>
      </c>
      <c r="I744" s="161"/>
      <c r="J744" s="395"/>
      <c r="K744" s="159"/>
      <c r="L744" s="159"/>
      <c r="M744" s="159"/>
    </row>
    <row r="745" spans="1:13" s="160" customFormat="1" ht="51" customHeight="1">
      <c r="A745" s="48" t="s">
        <v>295</v>
      </c>
      <c r="B745" s="35">
        <v>25.99</v>
      </c>
      <c r="C745" s="9">
        <v>25.99</v>
      </c>
      <c r="D745" s="172">
        <f>SUM(C745-B745)</f>
        <v>0</v>
      </c>
      <c r="E745" s="7">
        <f>SUM(C745/B745)</f>
        <v>1</v>
      </c>
      <c r="F745" s="4"/>
      <c r="G745" s="63"/>
      <c r="H745" s="4"/>
      <c r="I745" s="161"/>
      <c r="J745" s="393"/>
      <c r="K745" s="159"/>
      <c r="L745" s="159"/>
      <c r="M745" s="159"/>
    </row>
    <row r="746" spans="1:13" s="160" customFormat="1" ht="36" customHeight="1">
      <c r="A746" s="48" t="s">
        <v>428</v>
      </c>
      <c r="B746" s="35">
        <v>13.3</v>
      </c>
      <c r="C746" s="9">
        <v>13.3</v>
      </c>
      <c r="D746" s="172">
        <f aca="true" t="shared" si="53" ref="D746:D756">SUM(C746-B746)</f>
        <v>0</v>
      </c>
      <c r="E746" s="7">
        <f>SUM(B746/C746)</f>
        <v>1</v>
      </c>
      <c r="F746" s="4"/>
      <c r="G746" s="63"/>
      <c r="H746" s="4"/>
      <c r="I746" s="161"/>
      <c r="J746" s="395"/>
      <c r="K746" s="159"/>
      <c r="L746" s="159"/>
      <c r="M746" s="159"/>
    </row>
    <row r="747" spans="1:13" s="160" customFormat="1" ht="51">
      <c r="A747" s="164" t="s">
        <v>553</v>
      </c>
      <c r="B747" s="35">
        <v>20.7</v>
      </c>
      <c r="C747" s="9">
        <v>20.7</v>
      </c>
      <c r="D747" s="172">
        <f t="shared" si="53"/>
        <v>0</v>
      </c>
      <c r="E747" s="7">
        <f aca="true" t="shared" si="54" ref="E747:E757">SUM(C747/B747)</f>
        <v>1</v>
      </c>
      <c r="F747" s="4"/>
      <c r="G747" s="63"/>
      <c r="H747" s="4"/>
      <c r="I747" s="161"/>
      <c r="J747" s="395"/>
      <c r="K747" s="159"/>
      <c r="L747" s="159"/>
      <c r="M747" s="159"/>
    </row>
    <row r="748" spans="1:13" s="160" customFormat="1" ht="42" customHeight="1">
      <c r="A748" s="48" t="s">
        <v>554</v>
      </c>
      <c r="B748" s="35">
        <v>38.9</v>
      </c>
      <c r="C748" s="9">
        <v>38.9</v>
      </c>
      <c r="D748" s="172">
        <f t="shared" si="53"/>
        <v>0</v>
      </c>
      <c r="E748" s="7">
        <f t="shared" si="54"/>
        <v>1</v>
      </c>
      <c r="F748" s="4"/>
      <c r="G748" s="63"/>
      <c r="H748" s="4"/>
      <c r="I748" s="161"/>
      <c r="J748" s="395"/>
      <c r="K748" s="159"/>
      <c r="L748" s="159"/>
      <c r="M748" s="159"/>
    </row>
    <row r="749" spans="1:13" s="160" customFormat="1" ht="63.75">
      <c r="A749" s="48" t="s">
        <v>441</v>
      </c>
      <c r="B749" s="35">
        <v>4.2</v>
      </c>
      <c r="C749" s="9">
        <v>4.2</v>
      </c>
      <c r="D749" s="172">
        <f t="shared" si="53"/>
        <v>0</v>
      </c>
      <c r="E749" s="7">
        <f t="shared" si="54"/>
        <v>1</v>
      </c>
      <c r="F749" s="4"/>
      <c r="G749" s="63"/>
      <c r="H749" s="4"/>
      <c r="I749" s="161"/>
      <c r="J749" s="395"/>
      <c r="K749" s="159"/>
      <c r="L749" s="159"/>
      <c r="M749" s="159"/>
    </row>
    <row r="750" spans="1:13" s="160" customFormat="1" ht="28.5" customHeight="1">
      <c r="A750" s="48" t="s">
        <v>442</v>
      </c>
      <c r="B750" s="138">
        <v>2</v>
      </c>
      <c r="C750" s="172">
        <v>2</v>
      </c>
      <c r="D750" s="172">
        <f t="shared" si="53"/>
        <v>0</v>
      </c>
      <c r="E750" s="7">
        <f t="shared" si="54"/>
        <v>1</v>
      </c>
      <c r="F750" s="4"/>
      <c r="G750" s="63"/>
      <c r="H750" s="4"/>
      <c r="I750" s="161"/>
      <c r="J750" s="395"/>
      <c r="K750" s="159"/>
      <c r="L750" s="159"/>
      <c r="M750" s="159"/>
    </row>
    <row r="751" spans="1:13" s="160" customFormat="1" ht="39" customHeight="1">
      <c r="A751" s="48" t="s">
        <v>443</v>
      </c>
      <c r="B751" s="138">
        <v>5</v>
      </c>
      <c r="C751" s="172">
        <v>5</v>
      </c>
      <c r="D751" s="172">
        <f t="shared" si="53"/>
        <v>0</v>
      </c>
      <c r="E751" s="7">
        <f t="shared" si="54"/>
        <v>1</v>
      </c>
      <c r="F751" s="4"/>
      <c r="G751" s="63"/>
      <c r="H751" s="4"/>
      <c r="I751" s="161"/>
      <c r="J751" s="395"/>
      <c r="K751" s="159"/>
      <c r="L751" s="159"/>
      <c r="M751" s="159"/>
    </row>
    <row r="752" spans="1:13" s="160" customFormat="1" ht="46.5" customHeight="1">
      <c r="A752" s="48" t="s">
        <v>312</v>
      </c>
      <c r="B752" s="138">
        <v>40</v>
      </c>
      <c r="C752" s="172">
        <v>40</v>
      </c>
      <c r="D752" s="172">
        <f t="shared" si="53"/>
        <v>0</v>
      </c>
      <c r="E752" s="7">
        <f t="shared" si="54"/>
        <v>1</v>
      </c>
      <c r="F752" s="4"/>
      <c r="G752" s="63"/>
      <c r="H752" s="4"/>
      <c r="I752" s="161"/>
      <c r="J752" s="395"/>
      <c r="K752" s="159"/>
      <c r="L752" s="159"/>
      <c r="M752" s="159"/>
    </row>
    <row r="753" spans="1:13" s="160" customFormat="1" ht="69.75" customHeight="1">
      <c r="A753" s="48" t="s">
        <v>73</v>
      </c>
      <c r="B753" s="138">
        <v>76</v>
      </c>
      <c r="C753" s="172">
        <v>76</v>
      </c>
      <c r="D753" s="172">
        <f t="shared" si="53"/>
        <v>0</v>
      </c>
      <c r="E753" s="7">
        <f t="shared" si="54"/>
        <v>1</v>
      </c>
      <c r="F753" s="4"/>
      <c r="G753" s="63"/>
      <c r="H753" s="4"/>
      <c r="I753" s="161"/>
      <c r="J753" s="395"/>
      <c r="K753" s="159"/>
      <c r="L753" s="159"/>
      <c r="M753" s="159"/>
    </row>
    <row r="754" spans="1:13" s="160" customFormat="1" ht="25.5">
      <c r="A754" s="48" t="s">
        <v>74</v>
      </c>
      <c r="B754" s="138">
        <v>20</v>
      </c>
      <c r="C754" s="172">
        <v>20</v>
      </c>
      <c r="D754" s="172">
        <f t="shared" si="53"/>
        <v>0</v>
      </c>
      <c r="E754" s="7">
        <f t="shared" si="54"/>
        <v>1</v>
      </c>
      <c r="F754" s="327"/>
      <c r="G754" s="63"/>
      <c r="H754" s="4"/>
      <c r="I754" s="161"/>
      <c r="J754" s="562"/>
      <c r="K754" s="159"/>
      <c r="L754" s="159"/>
      <c r="M754" s="159"/>
    </row>
    <row r="755" spans="1:13" s="160" customFormat="1" ht="55.5" customHeight="1">
      <c r="A755" s="48" t="s">
        <v>75</v>
      </c>
      <c r="B755" s="138" t="s">
        <v>705</v>
      </c>
      <c r="C755" s="172" t="s">
        <v>705</v>
      </c>
      <c r="D755" s="172"/>
      <c r="E755" s="7"/>
      <c r="F755" s="327"/>
      <c r="G755" s="63"/>
      <c r="H755" s="4"/>
      <c r="I755" s="161"/>
      <c r="J755" s="562"/>
      <c r="K755" s="159"/>
      <c r="L755" s="159"/>
      <c r="M755" s="159"/>
    </row>
    <row r="756" spans="1:13" s="160" customFormat="1" ht="42.75" customHeight="1">
      <c r="A756" s="48" t="s">
        <v>395</v>
      </c>
      <c r="B756" s="35">
        <v>41.5</v>
      </c>
      <c r="C756" s="9">
        <v>41.5</v>
      </c>
      <c r="D756" s="172">
        <f t="shared" si="53"/>
        <v>0</v>
      </c>
      <c r="E756" s="7">
        <f t="shared" si="54"/>
        <v>1</v>
      </c>
      <c r="F756" s="327"/>
      <c r="G756" s="63"/>
      <c r="H756" s="4"/>
      <c r="I756" s="161"/>
      <c r="J756" s="562"/>
      <c r="K756" s="159"/>
      <c r="L756" s="159"/>
      <c r="M756" s="159"/>
    </row>
    <row r="757" spans="1:13" s="160" customFormat="1" ht="42.75" customHeight="1">
      <c r="A757" s="48" t="s">
        <v>396</v>
      </c>
      <c r="B757" s="35">
        <v>330.9</v>
      </c>
      <c r="C757" s="9">
        <v>330.9</v>
      </c>
      <c r="D757" s="172">
        <f>C757-B757</f>
        <v>0</v>
      </c>
      <c r="E757" s="7">
        <f t="shared" si="54"/>
        <v>1</v>
      </c>
      <c r="F757" s="327"/>
      <c r="G757" s="63"/>
      <c r="H757" s="4"/>
      <c r="I757" s="161"/>
      <c r="J757" s="318"/>
      <c r="K757" s="159"/>
      <c r="L757" s="159"/>
      <c r="M757" s="159"/>
    </row>
    <row r="758" spans="1:13" s="160" customFormat="1" ht="12.75" customHeight="1">
      <c r="A758" s="106" t="s">
        <v>680</v>
      </c>
      <c r="B758" s="50">
        <f>SUM(B745:B757)</f>
        <v>618.49</v>
      </c>
      <c r="C758" s="50">
        <f>SUM(C745:C757)</f>
        <v>618.49</v>
      </c>
      <c r="D758" s="50">
        <f>C758-B758</f>
        <v>0</v>
      </c>
      <c r="E758" s="31">
        <f>C758/B758</f>
        <v>1</v>
      </c>
      <c r="F758" s="49">
        <f>F742+F743+F744</f>
        <v>11681900</v>
      </c>
      <c r="G758" s="49">
        <f>G742+G743+G744</f>
        <v>11681900</v>
      </c>
      <c r="H758" s="31">
        <f>G758/F758</f>
        <v>1</v>
      </c>
      <c r="I758" s="31">
        <f>E758/H758</f>
        <v>1</v>
      </c>
      <c r="J758" s="394"/>
      <c r="K758" s="159"/>
      <c r="L758" s="159"/>
      <c r="M758" s="159"/>
    </row>
    <row r="759" spans="1:13" s="160" customFormat="1" ht="12.75" customHeight="1">
      <c r="A759" s="547" t="s">
        <v>467</v>
      </c>
      <c r="B759" s="547"/>
      <c r="C759" s="547"/>
      <c r="D759" s="547"/>
      <c r="E759" s="547"/>
      <c r="F759" s="547"/>
      <c r="G759" s="547"/>
      <c r="H759" s="547"/>
      <c r="I759" s="547"/>
      <c r="J759" s="547"/>
      <c r="K759" s="159"/>
      <c r="L759" s="159"/>
      <c r="M759" s="159"/>
    </row>
    <row r="760" spans="1:13" s="160" customFormat="1" ht="25.5" customHeight="1">
      <c r="A760" s="106" t="s">
        <v>468</v>
      </c>
      <c r="B760" s="174"/>
      <c r="C760" s="174"/>
      <c r="D760" s="174"/>
      <c r="E760" s="63"/>
      <c r="F760" s="63">
        <v>1000000</v>
      </c>
      <c r="G760" s="63">
        <f>F760</f>
        <v>1000000</v>
      </c>
      <c r="H760" s="31">
        <f>G760/F760</f>
        <v>1</v>
      </c>
      <c r="I760" s="161"/>
      <c r="J760" s="395"/>
      <c r="K760" s="159"/>
      <c r="L760" s="159"/>
      <c r="M760" s="159"/>
    </row>
    <row r="761" spans="1:13" s="160" customFormat="1" ht="42" customHeight="1">
      <c r="A761" s="48" t="s">
        <v>397</v>
      </c>
      <c r="B761" s="35">
        <v>55.8</v>
      </c>
      <c r="C761" s="9">
        <v>55.8</v>
      </c>
      <c r="D761" s="91">
        <f>SUM(C761-B761)</f>
        <v>0</v>
      </c>
      <c r="E761" s="36">
        <f>SUM(C761/B761)</f>
        <v>1</v>
      </c>
      <c r="F761" s="63"/>
      <c r="G761" s="63"/>
      <c r="H761" s="4"/>
      <c r="I761" s="161"/>
      <c r="J761" s="318"/>
      <c r="K761" s="159"/>
      <c r="L761" s="159"/>
      <c r="M761" s="159"/>
    </row>
    <row r="762" spans="1:13" s="160" customFormat="1" ht="12.75" customHeight="1">
      <c r="A762" s="106" t="s">
        <v>28</v>
      </c>
      <c r="B762" s="50">
        <f>SUM(B761:B761)</f>
        <v>55.8</v>
      </c>
      <c r="C762" s="50">
        <f>SUM(C761:C761)</f>
        <v>55.8</v>
      </c>
      <c r="D762" s="50">
        <f>C762-B762</f>
        <v>0</v>
      </c>
      <c r="E762" s="31">
        <f>C762/B762</f>
        <v>1</v>
      </c>
      <c r="F762" s="49">
        <f>SUM(F760)</f>
        <v>1000000</v>
      </c>
      <c r="G762" s="49">
        <f>SUM(G760)</f>
        <v>1000000</v>
      </c>
      <c r="H762" s="31">
        <f>G762/F762</f>
        <v>1</v>
      </c>
      <c r="I762" s="31">
        <f>E762/H762</f>
        <v>1</v>
      </c>
      <c r="J762" s="394"/>
      <c r="K762" s="159"/>
      <c r="L762" s="159"/>
      <c r="M762" s="159"/>
    </row>
    <row r="763" spans="1:13" s="160" customFormat="1" ht="69" customHeight="1">
      <c r="A763" s="48" t="s">
        <v>80</v>
      </c>
      <c r="B763" s="35">
        <v>43.06</v>
      </c>
      <c r="C763" s="9">
        <v>43.06</v>
      </c>
      <c r="D763" s="300">
        <f aca="true" t="shared" si="55" ref="D763:D768">SUM(C763-B763)</f>
        <v>0</v>
      </c>
      <c r="E763" s="67">
        <f aca="true" t="shared" si="56" ref="E763:E768">SUM(C763/B763)</f>
        <v>1</v>
      </c>
      <c r="F763" s="63"/>
      <c r="G763" s="63"/>
      <c r="H763" s="63"/>
      <c r="I763" s="63"/>
      <c r="J763" s="395"/>
      <c r="K763" s="159"/>
      <c r="L763" s="159"/>
      <c r="M763" s="159"/>
    </row>
    <row r="764" spans="1:13" s="160" customFormat="1" ht="61.5" customHeight="1">
      <c r="A764" s="48" t="s">
        <v>767</v>
      </c>
      <c r="B764" s="35">
        <v>71.19</v>
      </c>
      <c r="C764" s="35">
        <v>71.19</v>
      </c>
      <c r="D764" s="300">
        <f t="shared" si="55"/>
        <v>0</v>
      </c>
      <c r="E764" s="67">
        <f t="shared" si="56"/>
        <v>1</v>
      </c>
      <c r="F764" s="63"/>
      <c r="G764" s="63"/>
      <c r="H764" s="63"/>
      <c r="I764" s="63"/>
      <c r="J764" s="395"/>
      <c r="K764" s="159"/>
      <c r="L764" s="159"/>
      <c r="M764" s="159"/>
    </row>
    <row r="765" spans="1:13" s="160" customFormat="1" ht="69.75" customHeight="1">
      <c r="A765" s="48" t="s">
        <v>81</v>
      </c>
      <c r="B765" s="35">
        <v>51.5</v>
      </c>
      <c r="C765" s="35">
        <v>51.5</v>
      </c>
      <c r="D765" s="91">
        <f t="shared" si="55"/>
        <v>0</v>
      </c>
      <c r="E765" s="128">
        <f t="shared" si="56"/>
        <v>1</v>
      </c>
      <c r="F765" s="4"/>
      <c r="G765" s="4"/>
      <c r="H765" s="4"/>
      <c r="I765" s="4"/>
      <c r="J765" s="393"/>
      <c r="K765" s="159"/>
      <c r="L765" s="159"/>
      <c r="M765" s="159"/>
    </row>
    <row r="766" spans="1:13" s="160" customFormat="1" ht="96" customHeight="1">
      <c r="A766" s="48" t="s">
        <v>637</v>
      </c>
      <c r="B766" s="35">
        <v>9.5</v>
      </c>
      <c r="C766" s="35">
        <v>9.5</v>
      </c>
      <c r="D766" s="91">
        <f t="shared" si="55"/>
        <v>0</v>
      </c>
      <c r="E766" s="128">
        <f t="shared" si="56"/>
        <v>1</v>
      </c>
      <c r="F766" s="4"/>
      <c r="G766" s="4"/>
      <c r="H766" s="4"/>
      <c r="I766" s="4"/>
      <c r="J766" s="393"/>
      <c r="K766" s="159"/>
      <c r="L766" s="159"/>
      <c r="M766" s="159"/>
    </row>
    <row r="767" spans="1:13" s="160" customFormat="1" ht="76.5">
      <c r="A767" s="48" t="s">
        <v>463</v>
      </c>
      <c r="B767" s="37">
        <v>78</v>
      </c>
      <c r="C767" s="37">
        <v>78</v>
      </c>
      <c r="D767" s="300">
        <f t="shared" si="55"/>
        <v>0</v>
      </c>
      <c r="E767" s="67">
        <f t="shared" si="56"/>
        <v>1</v>
      </c>
      <c r="F767" s="63"/>
      <c r="G767" s="63"/>
      <c r="H767" s="63"/>
      <c r="I767" s="63"/>
      <c r="J767" s="395"/>
      <c r="K767" s="159"/>
      <c r="L767" s="159"/>
      <c r="M767" s="159"/>
    </row>
    <row r="768" spans="1:13" s="160" customFormat="1" ht="55.5" customHeight="1">
      <c r="A768" s="48" t="s">
        <v>464</v>
      </c>
      <c r="B768" s="37">
        <v>24</v>
      </c>
      <c r="C768" s="37">
        <v>24</v>
      </c>
      <c r="D768" s="300">
        <f t="shared" si="55"/>
        <v>0</v>
      </c>
      <c r="E768" s="67">
        <f t="shared" si="56"/>
        <v>1</v>
      </c>
      <c r="F768" s="63"/>
      <c r="G768" s="63"/>
      <c r="H768" s="63"/>
      <c r="I768" s="63"/>
      <c r="J768" s="395"/>
      <c r="K768" s="159"/>
      <c r="L768" s="159"/>
      <c r="M768" s="159"/>
    </row>
    <row r="769" spans="1:13" s="160" customFormat="1" ht="12.75" customHeight="1">
      <c r="A769" s="140" t="s">
        <v>469</v>
      </c>
      <c r="B769" s="292">
        <f>B740+B758+B762+B763+B764+B765+B766+B767+B768</f>
        <v>910741.18</v>
      </c>
      <c r="C769" s="292">
        <f>C740+C758+C762+C763+C764+C765+C766+C767+C768</f>
        <v>910741.18</v>
      </c>
      <c r="D769" s="292">
        <f>C769-B769</f>
        <v>0</v>
      </c>
      <c r="E769" s="141">
        <f>C769/B769</f>
        <v>1</v>
      </c>
      <c r="F769" s="292">
        <f>F740+F758+F762+F763+F764+F765+F766+F767+F768</f>
        <v>13034100</v>
      </c>
      <c r="G769" s="292">
        <f>G740+G758+G762+G763+G764+G765+G766+G767+G768</f>
        <v>13034100</v>
      </c>
      <c r="H769" s="141">
        <f>G769/F769</f>
        <v>1</v>
      </c>
      <c r="I769" s="141">
        <f>E769/H769</f>
        <v>1</v>
      </c>
      <c r="J769" s="449"/>
      <c r="K769" s="159"/>
      <c r="L769" s="159"/>
      <c r="M769" s="159"/>
    </row>
    <row r="770" spans="1:10" ht="25.5">
      <c r="A770" s="106" t="s">
        <v>759</v>
      </c>
      <c r="B770" s="50"/>
      <c r="C770" s="50"/>
      <c r="D770" s="50"/>
      <c r="E770" s="31"/>
      <c r="F770" s="36">
        <f>F769/F885</f>
        <v>0.0051408694547811235</v>
      </c>
      <c r="G770" s="36">
        <f>G769/G885</f>
        <v>0.005195974302616032</v>
      </c>
      <c r="H770" s="175"/>
      <c r="I770" s="176"/>
      <c r="J770" s="450"/>
    </row>
    <row r="771" spans="1:10" ht="18.75" customHeight="1">
      <c r="A771" s="540" t="s">
        <v>251</v>
      </c>
      <c r="B771" s="540"/>
      <c r="C771" s="540"/>
      <c r="D771" s="540"/>
      <c r="E771" s="540"/>
      <c r="F771" s="540"/>
      <c r="G771" s="540"/>
      <c r="H771" s="540"/>
      <c r="I771" s="540"/>
      <c r="J771" s="540"/>
    </row>
    <row r="772" spans="1:10" ht="17.25" customHeight="1">
      <c r="A772" s="527" t="s">
        <v>252</v>
      </c>
      <c r="B772" s="527"/>
      <c r="C772" s="527"/>
      <c r="D772" s="527"/>
      <c r="E772" s="527"/>
      <c r="F772" s="527"/>
      <c r="G772" s="527"/>
      <c r="H772" s="527"/>
      <c r="I772" s="527"/>
      <c r="J772" s="527"/>
    </row>
    <row r="773" spans="1:10" ht="38.25">
      <c r="A773" s="23" t="s">
        <v>201</v>
      </c>
      <c r="B773" s="90">
        <f>48+17</f>
        <v>65</v>
      </c>
      <c r="C773" s="90">
        <v>65</v>
      </c>
      <c r="D773" s="90">
        <f>C773-B773</f>
        <v>0</v>
      </c>
      <c r="E773" s="67">
        <f>C773/B773</f>
        <v>1</v>
      </c>
      <c r="F773" s="102">
        <v>10200750</v>
      </c>
      <c r="G773" s="102">
        <v>10081333.19</v>
      </c>
      <c r="H773" s="67">
        <f>G773/F773</f>
        <v>0.9882933303923731</v>
      </c>
      <c r="I773" s="103"/>
      <c r="J773" s="451"/>
    </row>
    <row r="774" spans="1:10" ht="38.25">
      <c r="A774" s="23" t="s">
        <v>253</v>
      </c>
      <c r="B774" s="90">
        <v>59</v>
      </c>
      <c r="C774" s="90">
        <v>59</v>
      </c>
      <c r="D774" s="90">
        <f aca="true" t="shared" si="57" ref="D774:D780">C774-B774</f>
        <v>0</v>
      </c>
      <c r="E774" s="67">
        <f aca="true" t="shared" si="58" ref="E774:E779">C774/B774</f>
        <v>1</v>
      </c>
      <c r="F774" s="102">
        <v>8347350</v>
      </c>
      <c r="G774" s="102">
        <v>8146228.7</v>
      </c>
      <c r="H774" s="67">
        <f aca="true" t="shared" si="59" ref="H774:H779">G774/F774</f>
        <v>0.9759059701581939</v>
      </c>
      <c r="I774" s="103"/>
      <c r="J774" s="451"/>
    </row>
    <row r="775" spans="1:10" ht="72">
      <c r="A775" s="248" t="s">
        <v>254</v>
      </c>
      <c r="B775" s="90">
        <v>299</v>
      </c>
      <c r="C775" s="90">
        <v>299</v>
      </c>
      <c r="D775" s="90">
        <f t="shared" si="57"/>
        <v>0</v>
      </c>
      <c r="E775" s="67">
        <f t="shared" si="58"/>
        <v>1</v>
      </c>
      <c r="F775" s="102">
        <v>1390600</v>
      </c>
      <c r="G775" s="102">
        <v>883730</v>
      </c>
      <c r="H775" s="67">
        <f t="shared" si="59"/>
        <v>0.6355026607219905</v>
      </c>
      <c r="I775" s="103"/>
      <c r="J775" s="452" t="s">
        <v>651</v>
      </c>
    </row>
    <row r="776" spans="1:10" ht="51" customHeight="1">
      <c r="A776" s="265" t="s">
        <v>202</v>
      </c>
      <c r="B776" s="90">
        <v>1017</v>
      </c>
      <c r="C776" s="90">
        <v>1017</v>
      </c>
      <c r="D776" s="90">
        <f t="shared" si="57"/>
        <v>0</v>
      </c>
      <c r="E776" s="67">
        <f t="shared" si="58"/>
        <v>1</v>
      </c>
      <c r="F776" s="102">
        <v>5732600</v>
      </c>
      <c r="G776" s="102">
        <v>5732600</v>
      </c>
      <c r="H776" s="67">
        <f t="shared" si="59"/>
        <v>1</v>
      </c>
      <c r="I776" s="103"/>
      <c r="J776" s="453"/>
    </row>
    <row r="777" spans="1:10" ht="51">
      <c r="A777" s="265" t="s">
        <v>401</v>
      </c>
      <c r="B777" s="90">
        <v>58</v>
      </c>
      <c r="C777" s="90">
        <v>0</v>
      </c>
      <c r="D777" s="90">
        <f t="shared" si="57"/>
        <v>-58</v>
      </c>
      <c r="E777" s="67">
        <v>0</v>
      </c>
      <c r="F777" s="102">
        <v>0</v>
      </c>
      <c r="G777" s="102">
        <v>0</v>
      </c>
      <c r="H777" s="67">
        <v>0</v>
      </c>
      <c r="I777" s="103"/>
      <c r="J777" s="452" t="s">
        <v>652</v>
      </c>
    </row>
    <row r="778" spans="1:10" ht="76.5">
      <c r="A778" s="265" t="s">
        <v>402</v>
      </c>
      <c r="B778" s="90">
        <v>110</v>
      </c>
      <c r="C778" s="90">
        <v>110</v>
      </c>
      <c r="D778" s="90">
        <f t="shared" si="57"/>
        <v>0</v>
      </c>
      <c r="E778" s="67">
        <f t="shared" si="58"/>
        <v>1</v>
      </c>
      <c r="F778" s="102">
        <v>14894000</v>
      </c>
      <c r="G778" s="102">
        <v>12356236.96</v>
      </c>
      <c r="H778" s="67">
        <f t="shared" si="59"/>
        <v>0.8296117201557675</v>
      </c>
      <c r="I778" s="103"/>
      <c r="J778" s="452" t="s">
        <v>653</v>
      </c>
    </row>
    <row r="779" spans="1:10" ht="72">
      <c r="A779" s="265" t="s">
        <v>403</v>
      </c>
      <c r="B779" s="90">
        <v>138</v>
      </c>
      <c r="C779" s="90">
        <v>138</v>
      </c>
      <c r="D779" s="90">
        <f t="shared" si="57"/>
        <v>0</v>
      </c>
      <c r="E779" s="67">
        <f t="shared" si="58"/>
        <v>1</v>
      </c>
      <c r="F779" s="102">
        <v>2205000</v>
      </c>
      <c r="G779" s="102">
        <v>2221000</v>
      </c>
      <c r="H779" s="67">
        <f t="shared" si="59"/>
        <v>1.0072562358276644</v>
      </c>
      <c r="I779" s="103"/>
      <c r="J779" s="452" t="s">
        <v>654</v>
      </c>
    </row>
    <row r="780" spans="1:10" ht="12.75">
      <c r="A780" s="270" t="s">
        <v>1</v>
      </c>
      <c r="B780" s="120">
        <f>B773+B774+B775+B776+B777+B778+B779</f>
        <v>1746</v>
      </c>
      <c r="C780" s="120">
        <f>C773+C774+C775+C776+C777+C778+C779</f>
        <v>1688</v>
      </c>
      <c r="D780" s="120">
        <f t="shared" si="57"/>
        <v>-58</v>
      </c>
      <c r="E780" s="67">
        <f>(E773+E774+E775+E776+E777+E778+E779)/7</f>
        <v>0.8571428571428571</v>
      </c>
      <c r="F780" s="104">
        <f>F773+F774+F775+F776+F778+F779</f>
        <v>42770300</v>
      </c>
      <c r="G780" s="104">
        <f>G773+G774+G775+G776+G778+G779</f>
        <v>39421128.85</v>
      </c>
      <c r="H780" s="67">
        <f>(H773+H774+H775+H776+H778+H779)/6</f>
        <v>0.9060949862093315</v>
      </c>
      <c r="I780" s="67">
        <f>E780/H780</f>
        <v>0.9459746165561883</v>
      </c>
      <c r="J780" s="454"/>
    </row>
    <row r="781" spans="1:10" ht="12.75">
      <c r="A781" s="527" t="s">
        <v>404</v>
      </c>
      <c r="B781" s="527"/>
      <c r="C781" s="527"/>
      <c r="D781" s="527"/>
      <c r="E781" s="527"/>
      <c r="F781" s="527"/>
      <c r="G781" s="527"/>
      <c r="H781" s="527"/>
      <c r="I781" s="527"/>
      <c r="J781" s="527"/>
    </row>
    <row r="782" spans="1:10" ht="72">
      <c r="A782" s="265" t="s">
        <v>405</v>
      </c>
      <c r="B782" s="90">
        <v>1</v>
      </c>
      <c r="C782" s="90">
        <v>1</v>
      </c>
      <c r="D782" s="90">
        <v>0</v>
      </c>
      <c r="E782" s="67">
        <f>C782/B782</f>
        <v>1</v>
      </c>
      <c r="F782" s="102">
        <v>18359870</v>
      </c>
      <c r="G782" s="102">
        <v>18603620</v>
      </c>
      <c r="H782" s="67">
        <f>G782/F782</f>
        <v>1.013276237794712</v>
      </c>
      <c r="I782" s="103"/>
      <c r="J782" s="452" t="s">
        <v>655</v>
      </c>
    </row>
    <row r="783" spans="1:10" ht="12.75">
      <c r="A783" s="270" t="s">
        <v>694</v>
      </c>
      <c r="B783" s="120">
        <v>1</v>
      </c>
      <c r="C783" s="120">
        <v>1</v>
      </c>
      <c r="D783" s="120"/>
      <c r="E783" s="67">
        <f>B783/C783</f>
        <v>1</v>
      </c>
      <c r="F783" s="104">
        <f>F782</f>
        <v>18359870</v>
      </c>
      <c r="G783" s="104">
        <f>G782</f>
        <v>18603620</v>
      </c>
      <c r="H783" s="67">
        <f>G783/F783</f>
        <v>1.013276237794712</v>
      </c>
      <c r="I783" s="67">
        <f>E783/H783</f>
        <v>0.9868977113056492</v>
      </c>
      <c r="J783" s="454"/>
    </row>
    <row r="784" spans="1:10" ht="12.75">
      <c r="A784" s="527" t="s">
        <v>406</v>
      </c>
      <c r="B784" s="527"/>
      <c r="C784" s="527"/>
      <c r="D784" s="527"/>
      <c r="E784" s="527"/>
      <c r="F784" s="527"/>
      <c r="G784" s="527"/>
      <c r="H784" s="527"/>
      <c r="I784" s="527"/>
      <c r="J784" s="527"/>
    </row>
    <row r="785" spans="1:10" ht="72">
      <c r="A785" s="265" t="s">
        <v>407</v>
      </c>
      <c r="B785" s="90">
        <v>11174</v>
      </c>
      <c r="C785" s="90">
        <v>11174</v>
      </c>
      <c r="D785" s="90">
        <f>C785-B785</f>
        <v>0</v>
      </c>
      <c r="E785" s="67">
        <f>C785/B785</f>
        <v>1</v>
      </c>
      <c r="F785" s="102">
        <v>176841445.68</v>
      </c>
      <c r="G785" s="102">
        <v>176528103.33</v>
      </c>
      <c r="H785" s="67">
        <f>G785/F785*100</f>
        <v>99.82281170073276</v>
      </c>
      <c r="I785" s="103"/>
      <c r="J785" s="452" t="s">
        <v>656</v>
      </c>
    </row>
    <row r="786" spans="1:10" ht="63.75">
      <c r="A786" s="265" t="s">
        <v>670</v>
      </c>
      <c r="B786" s="90">
        <v>12</v>
      </c>
      <c r="C786" s="90">
        <v>12</v>
      </c>
      <c r="D786" s="90">
        <f>C786-B786</f>
        <v>0</v>
      </c>
      <c r="E786" s="67">
        <f>C786/B786</f>
        <v>1</v>
      </c>
      <c r="F786" s="102">
        <v>198200</v>
      </c>
      <c r="G786" s="102">
        <v>173424.23</v>
      </c>
      <c r="H786" s="67">
        <f aca="true" t="shared" si="60" ref="H786:H793">G786/F786</f>
        <v>0.8749961150353179</v>
      </c>
      <c r="I786" s="103"/>
      <c r="J786" s="452" t="s">
        <v>657</v>
      </c>
    </row>
    <row r="787" spans="1:10" ht="72">
      <c r="A787" s="265" t="s">
        <v>408</v>
      </c>
      <c r="B787" s="90">
        <v>3200</v>
      </c>
      <c r="C787" s="90">
        <v>3200</v>
      </c>
      <c r="D787" s="90">
        <f aca="true" t="shared" si="61" ref="D787:D793">C787-B787</f>
        <v>0</v>
      </c>
      <c r="E787" s="67">
        <f>C787/B787</f>
        <v>1</v>
      </c>
      <c r="F787" s="102">
        <v>34949000</v>
      </c>
      <c r="G787" s="102">
        <v>30894918.17</v>
      </c>
      <c r="H787" s="67">
        <f t="shared" si="60"/>
        <v>0.8840000620904748</v>
      </c>
      <c r="I787" s="103"/>
      <c r="J787" s="452" t="s">
        <v>658</v>
      </c>
    </row>
    <row r="788" spans="1:10" ht="25.5">
      <c r="A788" s="265" t="s">
        <v>409</v>
      </c>
      <c r="B788" s="90">
        <v>38</v>
      </c>
      <c r="C788" s="90">
        <v>38</v>
      </c>
      <c r="D788" s="90">
        <f t="shared" si="61"/>
        <v>0</v>
      </c>
      <c r="E788" s="67">
        <f aca="true" t="shared" si="62" ref="E788:E793">C788/B788</f>
        <v>1</v>
      </c>
      <c r="F788" s="102">
        <v>385900</v>
      </c>
      <c r="G788" s="102">
        <v>329498.28</v>
      </c>
      <c r="H788" s="67">
        <f t="shared" si="60"/>
        <v>0.853843690075149</v>
      </c>
      <c r="I788" s="103"/>
      <c r="J788" s="452" t="s">
        <v>400</v>
      </c>
    </row>
    <row r="789" spans="1:10" ht="38.25">
      <c r="A789" s="265" t="s">
        <v>659</v>
      </c>
      <c r="B789" s="90">
        <v>0</v>
      </c>
      <c r="C789" s="90">
        <v>0</v>
      </c>
      <c r="D789" s="90">
        <f t="shared" si="61"/>
        <v>0</v>
      </c>
      <c r="E789" s="67">
        <v>0</v>
      </c>
      <c r="F789" s="102">
        <v>7800</v>
      </c>
      <c r="G789" s="102">
        <v>0</v>
      </c>
      <c r="H789" s="67">
        <v>0</v>
      </c>
      <c r="I789" s="103"/>
      <c r="J789" s="452" t="s">
        <v>400</v>
      </c>
    </row>
    <row r="790" spans="1:10" ht="72">
      <c r="A790" s="265" t="s">
        <v>410</v>
      </c>
      <c r="B790" s="90">
        <v>247</v>
      </c>
      <c r="C790" s="90">
        <v>247</v>
      </c>
      <c r="D790" s="90">
        <f t="shared" si="61"/>
        <v>0</v>
      </c>
      <c r="E790" s="67">
        <f t="shared" si="62"/>
        <v>1</v>
      </c>
      <c r="F790" s="102">
        <v>2966900</v>
      </c>
      <c r="G790" s="102">
        <v>2662987.41</v>
      </c>
      <c r="H790" s="67">
        <f t="shared" si="60"/>
        <v>0.8975656105699552</v>
      </c>
      <c r="I790" s="103"/>
      <c r="J790" s="452" t="s">
        <v>660</v>
      </c>
    </row>
    <row r="791" spans="1:10" ht="38.25">
      <c r="A791" s="265" t="s">
        <v>671</v>
      </c>
      <c r="B791" s="90">
        <v>301</v>
      </c>
      <c r="C791" s="90">
        <v>301</v>
      </c>
      <c r="D791" s="90">
        <f t="shared" si="61"/>
        <v>0</v>
      </c>
      <c r="E791" s="67">
        <f t="shared" si="62"/>
        <v>1</v>
      </c>
      <c r="F791" s="102">
        <v>4465500</v>
      </c>
      <c r="G791" s="102">
        <v>4465407.37</v>
      </c>
      <c r="H791" s="67">
        <f t="shared" si="60"/>
        <v>0.999979256522226</v>
      </c>
      <c r="I791" s="103"/>
      <c r="J791" s="453"/>
    </row>
    <row r="792" spans="1:10" ht="72">
      <c r="A792" s="265" t="s">
        <v>296</v>
      </c>
      <c r="B792" s="90">
        <v>2350</v>
      </c>
      <c r="C792" s="90">
        <v>2350</v>
      </c>
      <c r="D792" s="90">
        <f t="shared" si="61"/>
        <v>0</v>
      </c>
      <c r="E792" s="67">
        <f t="shared" si="62"/>
        <v>1</v>
      </c>
      <c r="F792" s="102">
        <v>8014454.32</v>
      </c>
      <c r="G792" s="102">
        <v>8104454.32</v>
      </c>
      <c r="H792" s="67">
        <f t="shared" si="60"/>
        <v>1.011229710271778</v>
      </c>
      <c r="I792" s="103"/>
      <c r="J792" s="452" t="s">
        <v>661</v>
      </c>
    </row>
    <row r="793" spans="1:10" ht="40.5" customHeight="1">
      <c r="A793" s="265" t="s">
        <v>297</v>
      </c>
      <c r="B793" s="90">
        <v>244</v>
      </c>
      <c r="C793" s="90">
        <v>244</v>
      </c>
      <c r="D793" s="90">
        <f t="shared" si="61"/>
        <v>0</v>
      </c>
      <c r="E793" s="67">
        <f t="shared" si="62"/>
        <v>1</v>
      </c>
      <c r="F793" s="102">
        <v>3321900</v>
      </c>
      <c r="G793" s="102">
        <v>3321900</v>
      </c>
      <c r="H793" s="67">
        <f t="shared" si="60"/>
        <v>1</v>
      </c>
      <c r="I793" s="103"/>
      <c r="J793" s="455"/>
    </row>
    <row r="794" spans="1:10" ht="12.75">
      <c r="A794" s="51" t="s">
        <v>298</v>
      </c>
      <c r="B794" s="120">
        <f>SUM(B785:B793)</f>
        <v>17566</v>
      </c>
      <c r="C794" s="120">
        <f>SUM(C785:C793)</f>
        <v>17566</v>
      </c>
      <c r="D794" s="120">
        <f>C794-B794</f>
        <v>0</v>
      </c>
      <c r="E794" s="67">
        <f>C794/B794</f>
        <v>1</v>
      </c>
      <c r="F794" s="104">
        <f>F793+F792+F791+F790+F789+F788+F787+F786+F785</f>
        <v>231151100</v>
      </c>
      <c r="G794" s="104">
        <f>G793+G792+G791+G790+G789+G788+G787+G786+G785</f>
        <v>226480693.11</v>
      </c>
      <c r="H794" s="67">
        <f>G794/F794</f>
        <v>0.9797950046960625</v>
      </c>
      <c r="I794" s="67">
        <f>E794/H794</f>
        <v>1.0206216557617633</v>
      </c>
      <c r="J794" s="521"/>
    </row>
    <row r="795" spans="1:10" ht="12.75">
      <c r="A795" s="553" t="s">
        <v>299</v>
      </c>
      <c r="B795" s="553"/>
      <c r="C795" s="553"/>
      <c r="D795" s="553"/>
      <c r="E795" s="553"/>
      <c r="F795" s="553"/>
      <c r="G795" s="553"/>
      <c r="H795" s="553"/>
      <c r="I795" s="553"/>
      <c r="J795" s="553"/>
    </row>
    <row r="796" spans="1:10" ht="38.25">
      <c r="A796" s="265" t="s">
        <v>300</v>
      </c>
      <c r="B796" s="90">
        <v>1604</v>
      </c>
      <c r="C796" s="90">
        <v>1605</v>
      </c>
      <c r="D796" s="90">
        <f>C796-B796</f>
        <v>1</v>
      </c>
      <c r="E796" s="67">
        <f>C796/B796</f>
        <v>1.0006234413965087</v>
      </c>
      <c r="F796" s="102">
        <v>12921210</v>
      </c>
      <c r="G796" s="102">
        <v>12915081.02</v>
      </c>
      <c r="H796" s="67">
        <f>G796/F796</f>
        <v>0.9995256651660331</v>
      </c>
      <c r="I796" s="103"/>
      <c r="J796" s="453"/>
    </row>
    <row r="797" spans="1:10" ht="13.5" customHeight="1">
      <c r="A797" s="270" t="s">
        <v>301</v>
      </c>
      <c r="B797" s="120">
        <f>B796</f>
        <v>1604</v>
      </c>
      <c r="C797" s="120">
        <f>C796</f>
        <v>1605</v>
      </c>
      <c r="D797" s="120">
        <f>C797-B797</f>
        <v>1</v>
      </c>
      <c r="E797" s="67">
        <f>E796</f>
        <v>1.0006234413965087</v>
      </c>
      <c r="F797" s="104">
        <f>F796</f>
        <v>12921210</v>
      </c>
      <c r="G797" s="104">
        <f>G796</f>
        <v>12915081.02</v>
      </c>
      <c r="H797" s="67">
        <f>G797/F797</f>
        <v>0.9995256651660331</v>
      </c>
      <c r="I797" s="67">
        <f>E797/H797</f>
        <v>1.0010982971910913</v>
      </c>
      <c r="J797" s="454"/>
    </row>
    <row r="798" spans="1:10" ht="12.75">
      <c r="A798" s="527" t="s">
        <v>662</v>
      </c>
      <c r="B798" s="527"/>
      <c r="C798" s="527"/>
      <c r="D798" s="527"/>
      <c r="E798" s="527"/>
      <c r="F798" s="527"/>
      <c r="G798" s="527"/>
      <c r="H798" s="527"/>
      <c r="I798" s="527"/>
      <c r="J798" s="527"/>
    </row>
    <row r="799" spans="1:10" ht="84">
      <c r="A799" s="265" t="s">
        <v>302</v>
      </c>
      <c r="B799" s="90">
        <v>1</v>
      </c>
      <c r="C799" s="90">
        <v>1</v>
      </c>
      <c r="D799" s="90">
        <f>C799-B799</f>
        <v>0</v>
      </c>
      <c r="E799" s="67">
        <f>C799/B799</f>
        <v>1</v>
      </c>
      <c r="F799" s="102">
        <v>20120890</v>
      </c>
      <c r="G799" s="102">
        <v>21662763.25</v>
      </c>
      <c r="H799" s="67">
        <f>G799/F799</f>
        <v>1.0766304696263436</v>
      </c>
      <c r="I799" s="103"/>
      <c r="J799" s="452" t="s">
        <v>663</v>
      </c>
    </row>
    <row r="800" spans="1:10" ht="31.5" customHeight="1">
      <c r="A800" s="270" t="s">
        <v>303</v>
      </c>
      <c r="B800" s="90">
        <f aca="true" t="shared" si="63" ref="B800:G800">B799</f>
        <v>1</v>
      </c>
      <c r="C800" s="90">
        <f t="shared" si="63"/>
        <v>1</v>
      </c>
      <c r="D800" s="90">
        <f>C800-B800</f>
        <v>0</v>
      </c>
      <c r="E800" s="67">
        <f t="shared" si="63"/>
        <v>1</v>
      </c>
      <c r="F800" s="102">
        <f t="shared" si="63"/>
        <v>20120890</v>
      </c>
      <c r="G800" s="102">
        <f t="shared" si="63"/>
        <v>21662763.25</v>
      </c>
      <c r="H800" s="67">
        <f>G800/F800</f>
        <v>1.0766304696263436</v>
      </c>
      <c r="I800" s="103"/>
      <c r="J800" s="456"/>
    </row>
    <row r="801" spans="1:10" ht="38.25">
      <c r="A801" s="270" t="s">
        <v>664</v>
      </c>
      <c r="B801" s="272">
        <f>B800+B797+B794+B783+B780</f>
        <v>20918</v>
      </c>
      <c r="C801" s="272">
        <f>C800+C797+C794+C783+C780</f>
        <v>20861</v>
      </c>
      <c r="D801" s="272">
        <f>C801-B801</f>
        <v>-57</v>
      </c>
      <c r="E801" s="67">
        <f aca="true" t="shared" si="64" ref="E801:E807">C801/B801</f>
        <v>0.9972750740988622</v>
      </c>
      <c r="F801" s="271">
        <f>F800+F797+F794+F783+F780</f>
        <v>325323370</v>
      </c>
      <c r="G801" s="271">
        <f>G800+G797+G794+G783+G780</f>
        <v>319083286.23</v>
      </c>
      <c r="H801" s="67">
        <f>G801/F801</f>
        <v>0.9808188272179771</v>
      </c>
      <c r="I801" s="293"/>
      <c r="J801" s="457"/>
    </row>
    <row r="802" spans="1:10" ht="102">
      <c r="A802" s="266" t="s">
        <v>304</v>
      </c>
      <c r="B802" s="99">
        <v>100</v>
      </c>
      <c r="C802" s="99">
        <v>100</v>
      </c>
      <c r="D802" s="90">
        <f aca="true" t="shared" si="65" ref="D802:D807">C802-B802</f>
        <v>0</v>
      </c>
      <c r="E802" s="67">
        <f t="shared" si="64"/>
        <v>1</v>
      </c>
      <c r="F802" s="267"/>
      <c r="G802" s="267"/>
      <c r="H802" s="268"/>
      <c r="I802" s="269"/>
      <c r="J802" s="458"/>
    </row>
    <row r="803" spans="1:10" ht="54.75" customHeight="1">
      <c r="A803" s="98" t="s">
        <v>305</v>
      </c>
      <c r="B803" s="99">
        <v>100</v>
      </c>
      <c r="C803" s="99">
        <v>100</v>
      </c>
      <c r="D803" s="90">
        <f t="shared" si="65"/>
        <v>0</v>
      </c>
      <c r="E803" s="67">
        <f t="shared" si="64"/>
        <v>1</v>
      </c>
      <c r="F803" s="99"/>
      <c r="G803" s="99"/>
      <c r="H803" s="100"/>
      <c r="I803" s="101"/>
      <c r="J803" s="459"/>
    </row>
    <row r="804" spans="1:10" ht="51">
      <c r="A804" s="98" t="s">
        <v>306</v>
      </c>
      <c r="B804" s="99">
        <v>98</v>
      </c>
      <c r="C804" s="99">
        <v>100</v>
      </c>
      <c r="D804" s="90">
        <f t="shared" si="65"/>
        <v>2</v>
      </c>
      <c r="E804" s="67">
        <f t="shared" si="64"/>
        <v>1.0204081632653061</v>
      </c>
      <c r="F804" s="99"/>
      <c r="G804" s="99"/>
      <c r="H804" s="100"/>
      <c r="I804" s="101"/>
      <c r="J804" s="459"/>
    </row>
    <row r="805" spans="1:10" ht="130.5" customHeight="1">
      <c r="A805" s="98" t="s">
        <v>399</v>
      </c>
      <c r="B805" s="271">
        <v>100</v>
      </c>
      <c r="C805" s="99">
        <v>100</v>
      </c>
      <c r="D805" s="90">
        <f t="shared" si="65"/>
        <v>0</v>
      </c>
      <c r="E805" s="67">
        <f t="shared" si="64"/>
        <v>1</v>
      </c>
      <c r="F805" s="99"/>
      <c r="G805" s="99"/>
      <c r="H805" s="100"/>
      <c r="I805" s="101"/>
      <c r="J805" s="459"/>
    </row>
    <row r="806" spans="1:10" ht="63.75">
      <c r="A806" s="98" t="s">
        <v>577</v>
      </c>
      <c r="B806" s="99">
        <v>95</v>
      </c>
      <c r="C806" s="99">
        <v>100</v>
      </c>
      <c r="D806" s="90">
        <f t="shared" si="65"/>
        <v>5</v>
      </c>
      <c r="E806" s="67">
        <f t="shared" si="64"/>
        <v>1.0526315789473684</v>
      </c>
      <c r="F806" s="99"/>
      <c r="G806" s="99"/>
      <c r="H806" s="100"/>
      <c r="I806" s="101"/>
      <c r="J806" s="459"/>
    </row>
    <row r="807" spans="1:10" ht="102">
      <c r="A807" s="98" t="s">
        <v>578</v>
      </c>
      <c r="B807" s="99">
        <v>100</v>
      </c>
      <c r="C807" s="99">
        <v>100</v>
      </c>
      <c r="D807" s="90">
        <f t="shared" si="65"/>
        <v>0</v>
      </c>
      <c r="E807" s="67">
        <f t="shared" si="64"/>
        <v>1</v>
      </c>
      <c r="F807" s="99"/>
      <c r="G807" s="99"/>
      <c r="H807" s="100"/>
      <c r="I807" s="101"/>
      <c r="J807" s="459"/>
    </row>
    <row r="808" spans="1:10" ht="102">
      <c r="A808" s="98" t="s">
        <v>579</v>
      </c>
      <c r="B808" s="99" t="s">
        <v>580</v>
      </c>
      <c r="C808" s="99">
        <v>0</v>
      </c>
      <c r="D808" s="272"/>
      <c r="E808" s="67">
        <v>1</v>
      </c>
      <c r="F808" s="99"/>
      <c r="G808" s="99"/>
      <c r="H808" s="100"/>
      <c r="I808" s="101"/>
      <c r="J808" s="459"/>
    </row>
    <row r="809" spans="1:10" ht="127.5">
      <c r="A809" s="98" t="s">
        <v>696</v>
      </c>
      <c r="B809" s="99">
        <v>95</v>
      </c>
      <c r="C809" s="366">
        <f>G801/F801*100</f>
        <v>98.08188272179771</v>
      </c>
      <c r="D809" s="105">
        <f>C809-B809</f>
        <v>3.0818827217977116</v>
      </c>
      <c r="E809" s="67">
        <f>C809/B809</f>
        <v>1.0324408707557653</v>
      </c>
      <c r="F809" s="99"/>
      <c r="G809" s="99"/>
      <c r="H809" s="100"/>
      <c r="I809" s="101"/>
      <c r="J809" s="459"/>
    </row>
    <row r="810" spans="1:10" ht="12.75">
      <c r="A810" s="157" t="s">
        <v>292</v>
      </c>
      <c r="B810" s="157">
        <f>B801+B802+B803+B804+B805+B806+B809</f>
        <v>21506</v>
      </c>
      <c r="C810" s="157">
        <f>C801+C802+C803+C804+C805+C806+C809</f>
        <v>21459.0818827218</v>
      </c>
      <c r="D810" s="157">
        <f>C810-B810</f>
        <v>-46.91811727820095</v>
      </c>
      <c r="E810" s="158">
        <f>SUM(E799:E809)/11</f>
        <v>1.0093414260970275</v>
      </c>
      <c r="F810" s="169">
        <f>F801</f>
        <v>325323370</v>
      </c>
      <c r="G810" s="169">
        <f>G801</f>
        <v>319083286.23</v>
      </c>
      <c r="H810" s="158">
        <f>G810/F810</f>
        <v>0.9808188272179771</v>
      </c>
      <c r="I810" s="158">
        <f>E810/H810</f>
        <v>1.0290803949593348</v>
      </c>
      <c r="J810" s="460"/>
    </row>
    <row r="811" spans="1:10" ht="25.5">
      <c r="A811" s="51" t="s">
        <v>293</v>
      </c>
      <c r="B811" s="121"/>
      <c r="C811" s="121"/>
      <c r="D811" s="121"/>
      <c r="E811" s="79"/>
      <c r="F811" s="57">
        <f>F810/F885</f>
        <v>0.12831303854960893</v>
      </c>
      <c r="G811" s="57">
        <f>G810/G885</f>
        <v>0.12720084667490322</v>
      </c>
      <c r="H811" s="118"/>
      <c r="I811" s="79"/>
      <c r="J811" s="450"/>
    </row>
    <row r="812" spans="1:10" ht="12.75" customHeight="1">
      <c r="A812" s="557" t="s">
        <v>585</v>
      </c>
      <c r="B812" s="557"/>
      <c r="C812" s="557"/>
      <c r="D812" s="557"/>
      <c r="E812" s="557"/>
      <c r="F812" s="557"/>
      <c r="G812" s="557"/>
      <c r="H812" s="557"/>
      <c r="I812" s="557"/>
      <c r="J812" s="557"/>
    </row>
    <row r="813" spans="1:10" ht="14.25" customHeight="1">
      <c r="A813" s="565" t="s">
        <v>475</v>
      </c>
      <c r="B813" s="565"/>
      <c r="C813" s="565"/>
      <c r="D813" s="565"/>
      <c r="E813" s="565"/>
      <c r="F813" s="565"/>
      <c r="G813" s="565"/>
      <c r="H813" s="565"/>
      <c r="I813" s="565"/>
      <c r="J813" s="422"/>
    </row>
    <row r="814" spans="1:10" ht="76.5">
      <c r="A814" s="164" t="s">
        <v>446</v>
      </c>
      <c r="B814" s="514"/>
      <c r="C814" s="514"/>
      <c r="D814" s="514"/>
      <c r="E814" s="515"/>
      <c r="F814" s="39">
        <v>366300</v>
      </c>
      <c r="G814" s="39">
        <v>366300</v>
      </c>
      <c r="H814" s="515">
        <f>G814/F814</f>
        <v>1</v>
      </c>
      <c r="I814" s="515"/>
      <c r="J814" s="461"/>
    </row>
    <row r="815" spans="1:10" ht="25.5">
      <c r="A815" s="164" t="s">
        <v>38</v>
      </c>
      <c r="B815" s="514">
        <v>62</v>
      </c>
      <c r="C815" s="514">
        <v>62</v>
      </c>
      <c r="D815" s="514">
        <f>C815-B815</f>
        <v>0</v>
      </c>
      <c r="E815" s="515">
        <f>C815/B815</f>
        <v>1</v>
      </c>
      <c r="F815" s="39"/>
      <c r="G815" s="39"/>
      <c r="H815" s="515"/>
      <c r="I815" s="515"/>
      <c r="J815" s="461"/>
    </row>
    <row r="816" spans="1:10" ht="25.5">
      <c r="A816" s="164" t="s">
        <v>112</v>
      </c>
      <c r="B816" s="514">
        <v>62</v>
      </c>
      <c r="C816" s="514">
        <v>62</v>
      </c>
      <c r="D816" s="514">
        <f>C816-B816</f>
        <v>0</v>
      </c>
      <c r="E816" s="515">
        <f>C816/B816</f>
        <v>1</v>
      </c>
      <c r="F816" s="39"/>
      <c r="G816" s="39"/>
      <c r="H816" s="515"/>
      <c r="I816" s="515"/>
      <c r="J816" s="461"/>
    </row>
    <row r="817" spans="1:10" ht="12.75">
      <c r="A817" s="164" t="s">
        <v>447</v>
      </c>
      <c r="B817" s="514"/>
      <c r="C817" s="514"/>
      <c r="D817" s="514"/>
      <c r="E817" s="514"/>
      <c r="F817" s="39">
        <v>17919898.95</v>
      </c>
      <c r="G817" s="39">
        <v>17919898.95</v>
      </c>
      <c r="H817" s="515">
        <f>G817/F817</f>
        <v>1</v>
      </c>
      <c r="I817" s="515"/>
      <c r="J817" s="461"/>
    </row>
    <row r="818" spans="1:10" ht="38.25">
      <c r="A818" s="164" t="s">
        <v>16</v>
      </c>
      <c r="B818" s="514">
        <v>6.09</v>
      </c>
      <c r="C818" s="514">
        <v>6.09</v>
      </c>
      <c r="D818" s="514">
        <f>C818-B818</f>
        <v>0</v>
      </c>
      <c r="E818" s="515">
        <f>C818/B818</f>
        <v>1</v>
      </c>
      <c r="F818" s="39"/>
      <c r="G818" s="39"/>
      <c r="H818" s="515"/>
      <c r="I818" s="515"/>
      <c r="J818" s="461"/>
    </row>
    <row r="819" spans="1:10" ht="12.75">
      <c r="A819" s="516" t="s">
        <v>678</v>
      </c>
      <c r="B819" s="360">
        <f>B815+B816+B818</f>
        <v>130.09</v>
      </c>
      <c r="C819" s="360">
        <f>C815+C816+C818</f>
        <v>130.09</v>
      </c>
      <c r="D819" s="360">
        <f>C819-B819</f>
        <v>0</v>
      </c>
      <c r="E819" s="356">
        <f>C819/B819</f>
        <v>1</v>
      </c>
      <c r="F819" s="517">
        <f>SUM((F814:F818))</f>
        <v>18286198.95</v>
      </c>
      <c r="G819" s="517">
        <f>SUM((G814:G818))</f>
        <v>18286198.95</v>
      </c>
      <c r="H819" s="356">
        <f>G819/F819</f>
        <v>1</v>
      </c>
      <c r="I819" s="356">
        <f>E819/H819</f>
        <v>1</v>
      </c>
      <c r="J819" s="518"/>
    </row>
    <row r="820" spans="1:10" ht="12.75">
      <c r="A820" s="567" t="s">
        <v>113</v>
      </c>
      <c r="B820" s="567"/>
      <c r="C820" s="567"/>
      <c r="D820" s="567"/>
      <c r="E820" s="567"/>
      <c r="F820" s="567"/>
      <c r="G820" s="567"/>
      <c r="H820" s="567"/>
      <c r="I820" s="567"/>
      <c r="J820" s="567"/>
    </row>
    <row r="821" spans="1:10" ht="63.75">
      <c r="A821" s="164" t="s">
        <v>631</v>
      </c>
      <c r="B821" s="514"/>
      <c r="C821" s="514"/>
      <c r="D821" s="514"/>
      <c r="E821" s="514"/>
      <c r="F821" s="39">
        <v>2039801.05</v>
      </c>
      <c r="G821" s="39">
        <v>1848738.5</v>
      </c>
      <c r="H821" s="515">
        <f>G821/F821</f>
        <v>0.9063327524024953</v>
      </c>
      <c r="I821" s="54"/>
      <c r="J821" s="435" t="s">
        <v>91</v>
      </c>
    </row>
    <row r="822" spans="1:10" ht="72.75" customHeight="1">
      <c r="A822" s="166" t="s">
        <v>632</v>
      </c>
      <c r="B822" s="514">
        <v>3</v>
      </c>
      <c r="C822" s="514">
        <v>3</v>
      </c>
      <c r="D822" s="514">
        <f>C822-B822</f>
        <v>0</v>
      </c>
      <c r="E822" s="515">
        <f>C822/B822</f>
        <v>1</v>
      </c>
      <c r="F822" s="39"/>
      <c r="G822" s="39"/>
      <c r="H822" s="39"/>
      <c r="I822" s="39"/>
      <c r="J822" s="430"/>
    </row>
    <row r="823" spans="1:10" ht="12.75">
      <c r="A823" s="519" t="s">
        <v>27</v>
      </c>
      <c r="B823" s="360">
        <f>B821+B822</f>
        <v>3</v>
      </c>
      <c r="C823" s="360">
        <f>C821+C822</f>
        <v>3</v>
      </c>
      <c r="D823" s="360">
        <f>C823-B823</f>
        <v>0</v>
      </c>
      <c r="E823" s="515">
        <f>C823/B823</f>
        <v>1</v>
      </c>
      <c r="F823" s="76">
        <f>SUM(F821:F822)</f>
        <v>2039801.05</v>
      </c>
      <c r="G823" s="76">
        <f>SUM(G821:G822)</f>
        <v>1848738.5</v>
      </c>
      <c r="H823" s="520">
        <f>G823/F823</f>
        <v>0.9063327524024953</v>
      </c>
      <c r="I823" s="520">
        <f>E823/H823</f>
        <v>1.1033475258940082</v>
      </c>
      <c r="J823" s="462"/>
    </row>
    <row r="824" spans="1:10" ht="12.75">
      <c r="A824" s="157" t="s">
        <v>125</v>
      </c>
      <c r="B824" s="370">
        <f>B819+B823</f>
        <v>133.09</v>
      </c>
      <c r="C824" s="370">
        <f>C819+C823</f>
        <v>133.09</v>
      </c>
      <c r="D824" s="169">
        <f>C824-B824</f>
        <v>0</v>
      </c>
      <c r="E824" s="371">
        <f>C824/B824</f>
        <v>1</v>
      </c>
      <c r="F824" s="372">
        <f>F819+F823</f>
        <v>20326000</v>
      </c>
      <c r="G824" s="372">
        <f>G819+G823</f>
        <v>20134937.45</v>
      </c>
      <c r="H824" s="371">
        <f>G824/F824</f>
        <v>0.9906000910164321</v>
      </c>
      <c r="I824" s="371">
        <f>E824/H824</f>
        <v>1.0094891057136113</v>
      </c>
      <c r="J824" s="463"/>
    </row>
    <row r="825" spans="1:10" ht="25.5">
      <c r="A825" s="106" t="s">
        <v>759</v>
      </c>
      <c r="B825" s="373"/>
      <c r="C825" s="373"/>
      <c r="D825" s="367"/>
      <c r="E825" s="368"/>
      <c r="F825" s="57">
        <f>F824/F883</f>
        <v>0.01659246343307097</v>
      </c>
      <c r="G825" s="57">
        <f>G824/G883</f>
        <v>0.01656634821142063</v>
      </c>
      <c r="H825" s="369"/>
      <c r="I825" s="369"/>
      <c r="J825" s="462"/>
    </row>
    <row r="826" spans="1:10" ht="15.75" customHeight="1">
      <c r="A826" s="564" t="s">
        <v>586</v>
      </c>
      <c r="B826" s="564"/>
      <c r="C826" s="564"/>
      <c r="D826" s="564"/>
      <c r="E826" s="564"/>
      <c r="F826" s="564"/>
      <c r="G826" s="564"/>
      <c r="H826" s="564"/>
      <c r="I826" s="564"/>
      <c r="J826" s="564"/>
    </row>
    <row r="827" spans="1:10" ht="15.75" customHeight="1">
      <c r="A827" s="554" t="s">
        <v>679</v>
      </c>
      <c r="B827" s="554"/>
      <c r="C827" s="554"/>
      <c r="D827" s="554"/>
      <c r="E827" s="554"/>
      <c r="F827" s="554"/>
      <c r="G827" s="554"/>
      <c r="H827" s="554"/>
      <c r="I827" s="554"/>
      <c r="J827" s="554"/>
    </row>
    <row r="828" spans="1:10" ht="45" customHeight="1">
      <c r="A828" s="13" t="s">
        <v>417</v>
      </c>
      <c r="B828" s="68">
        <v>34</v>
      </c>
      <c r="C828" s="68">
        <v>34</v>
      </c>
      <c r="D828" s="68">
        <f>C828-B828</f>
        <v>0</v>
      </c>
      <c r="E828" s="515">
        <f>C828/B828</f>
        <v>1</v>
      </c>
      <c r="F828" s="281"/>
      <c r="G828" s="281"/>
      <c r="H828" s="281"/>
      <c r="I828" s="281"/>
      <c r="J828" s="426"/>
    </row>
    <row r="829" spans="1:10" ht="78" customHeight="1">
      <c r="A829" s="13" t="s">
        <v>159</v>
      </c>
      <c r="B829" s="65">
        <v>90</v>
      </c>
      <c r="C829" s="65">
        <v>90</v>
      </c>
      <c r="D829" s="65">
        <f>C829-B829</f>
        <v>0</v>
      </c>
      <c r="E829" s="515">
        <f>C829/B829</f>
        <v>1</v>
      </c>
      <c r="F829" s="281"/>
      <c r="G829" s="281"/>
      <c r="H829" s="281"/>
      <c r="I829" s="281"/>
      <c r="J829" s="426"/>
    </row>
    <row r="830" spans="1:10" ht="51">
      <c r="A830" s="6" t="s">
        <v>609</v>
      </c>
      <c r="B830" s="6"/>
      <c r="C830" s="6"/>
      <c r="D830" s="70"/>
      <c r="E830" s="7"/>
      <c r="F830" s="102">
        <v>1451500</v>
      </c>
      <c r="G830" s="102">
        <v>1402417.28</v>
      </c>
      <c r="H830" s="515">
        <f>G830/F830</f>
        <v>0.9661848294867379</v>
      </c>
      <c r="I830" s="7"/>
      <c r="J830" s="425" t="s">
        <v>633</v>
      </c>
    </row>
    <row r="831" spans="1:10" ht="12.75" customHeight="1">
      <c r="A831" s="157" t="s">
        <v>592</v>
      </c>
      <c r="B831" s="284">
        <f>B828+B829</f>
        <v>124</v>
      </c>
      <c r="C831" s="284">
        <f>C828+C829</f>
        <v>124</v>
      </c>
      <c r="D831" s="284">
        <f>C831-B831</f>
        <v>0</v>
      </c>
      <c r="E831" s="285">
        <f>C831/B831</f>
        <v>1</v>
      </c>
      <c r="F831" s="284">
        <f>F830</f>
        <v>1451500</v>
      </c>
      <c r="G831" s="284">
        <f>G830</f>
        <v>1402417.28</v>
      </c>
      <c r="H831" s="285">
        <f>G831/F831</f>
        <v>0.9661848294867379</v>
      </c>
      <c r="I831" s="285">
        <f>E831/H831</f>
        <v>1.0349986560348143</v>
      </c>
      <c r="J831" s="427"/>
    </row>
    <row r="832" spans="1:10" ht="25.5">
      <c r="A832" s="106" t="s">
        <v>759</v>
      </c>
      <c r="B832" s="75"/>
      <c r="C832" s="75"/>
      <c r="D832" s="75"/>
      <c r="E832" s="75"/>
      <c r="F832" s="57">
        <f>F831/F885</f>
        <v>0.0005724961457726119</v>
      </c>
      <c r="G832" s="57">
        <f>G831/G885</f>
        <v>0.0005590661532767642</v>
      </c>
      <c r="H832" s="78"/>
      <c r="I832" s="75"/>
      <c r="J832" s="189"/>
    </row>
    <row r="833" spans="1:10" ht="21" customHeight="1">
      <c r="A833" s="564" t="s">
        <v>138</v>
      </c>
      <c r="B833" s="564"/>
      <c r="C833" s="564"/>
      <c r="D833" s="564"/>
      <c r="E833" s="564"/>
      <c r="F833" s="564"/>
      <c r="G833" s="564"/>
      <c r="H833" s="564"/>
      <c r="I833" s="564"/>
      <c r="J833" s="564"/>
    </row>
    <row r="834" spans="1:10" ht="102">
      <c r="A834" s="217" t="s">
        <v>239</v>
      </c>
      <c r="B834" s="64"/>
      <c r="C834" s="64"/>
      <c r="D834" s="29"/>
      <c r="E834" s="515"/>
      <c r="F834" s="123">
        <v>3926759.58</v>
      </c>
      <c r="G834" s="218">
        <v>3926759.58</v>
      </c>
      <c r="H834" s="487">
        <f>SUM(G834/F834)</f>
        <v>1</v>
      </c>
      <c r="I834" s="221"/>
      <c r="J834" s="189"/>
    </row>
    <row r="835" spans="1:10" ht="36.75" customHeight="1">
      <c r="A835" s="217" t="s">
        <v>238</v>
      </c>
      <c r="B835" s="64"/>
      <c r="C835" s="29"/>
      <c r="D835" s="29"/>
      <c r="E835" s="515"/>
      <c r="F835" s="123">
        <v>8991412.73</v>
      </c>
      <c r="G835" s="218">
        <v>8991119.35</v>
      </c>
      <c r="H835" s="487">
        <f>SUM(G835/F835)</f>
        <v>0.9999673710896373</v>
      </c>
      <c r="I835" s="74"/>
      <c r="J835" s="189"/>
    </row>
    <row r="836" spans="1:10" ht="38.25" customHeight="1">
      <c r="A836" s="217" t="s">
        <v>238</v>
      </c>
      <c r="B836" s="91"/>
      <c r="C836" s="91"/>
      <c r="D836" s="29"/>
      <c r="E836" s="515"/>
      <c r="F836" s="123">
        <v>53115927.69</v>
      </c>
      <c r="G836" s="218">
        <v>53113989.84</v>
      </c>
      <c r="H836" s="487">
        <f>SUM(G836/F836)</f>
        <v>0.9999635165931525</v>
      </c>
      <c r="I836" s="74"/>
      <c r="J836" s="189"/>
    </row>
    <row r="837" spans="1:10" ht="38.25" customHeight="1">
      <c r="A837" s="213" t="s">
        <v>241</v>
      </c>
      <c r="B837" s="64">
        <v>85</v>
      </c>
      <c r="C837" s="64">
        <v>85</v>
      </c>
      <c r="D837" s="29">
        <v>0</v>
      </c>
      <c r="E837" s="487">
        <v>1</v>
      </c>
      <c r="F837" s="123"/>
      <c r="G837" s="218"/>
      <c r="H837" s="221"/>
      <c r="I837" s="74"/>
      <c r="J837" s="189"/>
    </row>
    <row r="838" spans="1:10" ht="12.75">
      <c r="A838" s="155" t="s">
        <v>437</v>
      </c>
      <c r="B838" s="155">
        <f>B837</f>
        <v>85</v>
      </c>
      <c r="C838" s="155">
        <f>C837</f>
        <v>85</v>
      </c>
      <c r="D838" s="155">
        <f>C838-B838</f>
        <v>0</v>
      </c>
      <c r="E838" s="144">
        <f>C838/B838</f>
        <v>1</v>
      </c>
      <c r="F838" s="149">
        <f>F834+F835+F836</f>
        <v>66034100</v>
      </c>
      <c r="G838" s="149">
        <f>G834+G835+G836</f>
        <v>66031868.77</v>
      </c>
      <c r="H838" s="148">
        <f>G838/F838</f>
        <v>0.9999662109425282</v>
      </c>
      <c r="I838" s="156">
        <f>E838/H838</f>
        <v>1.0000337901992107</v>
      </c>
      <c r="J838" s="431"/>
    </row>
    <row r="839" spans="1:10" ht="25.5">
      <c r="A839" s="106" t="s">
        <v>759</v>
      </c>
      <c r="B839" s="125"/>
      <c r="C839" s="125"/>
      <c r="D839" s="121"/>
      <c r="E839" s="79"/>
      <c r="F839" s="57">
        <f>F838/F885</f>
        <v>0.026044965717921618</v>
      </c>
      <c r="G839" s="57">
        <f>G838/G885</f>
        <v>0.026323251569547117</v>
      </c>
      <c r="H839" s="57"/>
      <c r="I839" s="79"/>
      <c r="J839" s="429"/>
    </row>
    <row r="840" spans="1:10" ht="16.5" customHeight="1">
      <c r="A840" s="566" t="s">
        <v>126</v>
      </c>
      <c r="B840" s="566"/>
      <c r="C840" s="566"/>
      <c r="D840" s="566"/>
      <c r="E840" s="566"/>
      <c r="F840" s="566"/>
      <c r="G840" s="566"/>
      <c r="H840" s="566"/>
      <c r="I840" s="566"/>
      <c r="J840" s="464"/>
    </row>
    <row r="841" spans="1:10" ht="63.75">
      <c r="A841" s="244" t="s">
        <v>712</v>
      </c>
      <c r="B841" s="374"/>
      <c r="C841" s="374"/>
      <c r="D841" s="374"/>
      <c r="E841" s="340"/>
      <c r="F841" s="341">
        <v>2536810</v>
      </c>
      <c r="G841" s="341">
        <v>2536802.23</v>
      </c>
      <c r="H841" s="490">
        <f>SUM(G841/F841)</f>
        <v>0.9999969370981666</v>
      </c>
      <c r="I841" s="341"/>
      <c r="J841" s="465"/>
    </row>
    <row r="842" spans="1:10" ht="67.5" customHeight="1">
      <c r="A842" s="244" t="s">
        <v>311</v>
      </c>
      <c r="B842" s="340"/>
      <c r="C842" s="340"/>
      <c r="D842" s="374"/>
      <c r="E842" s="340"/>
      <c r="F842" s="341">
        <v>3135228.41</v>
      </c>
      <c r="G842" s="341">
        <v>3135228.41</v>
      </c>
      <c r="H842" s="490">
        <f>SUM(G842/F842)</f>
        <v>1</v>
      </c>
      <c r="I842" s="341"/>
      <c r="J842" s="418"/>
    </row>
    <row r="843" spans="1:11" ht="43.5" customHeight="1">
      <c r="A843" s="244" t="s">
        <v>310</v>
      </c>
      <c r="B843" s="340"/>
      <c r="C843" s="340"/>
      <c r="D843" s="374"/>
      <c r="E843" s="340"/>
      <c r="F843" s="341">
        <v>5978961.59</v>
      </c>
      <c r="G843" s="341">
        <v>5978961.13</v>
      </c>
      <c r="H843" s="490">
        <f>SUM(G843/F843)</f>
        <v>0.9999999230635633</v>
      </c>
      <c r="I843" s="341"/>
      <c r="J843" s="418"/>
      <c r="K843" s="73"/>
    </row>
    <row r="844" spans="1:10" ht="81" customHeight="1">
      <c r="A844" s="244" t="s">
        <v>711</v>
      </c>
      <c r="B844" s="56"/>
      <c r="C844" s="56"/>
      <c r="D844" s="56"/>
      <c r="E844" s="111"/>
      <c r="F844" s="56">
        <v>1256000</v>
      </c>
      <c r="G844" s="56">
        <v>1256000</v>
      </c>
      <c r="H844" s="490">
        <f>SUM(G844/F844)</f>
        <v>1</v>
      </c>
      <c r="I844" s="375"/>
      <c r="J844" s="274"/>
    </row>
    <row r="845" spans="1:10" ht="37.5" customHeight="1">
      <c r="A845" s="246" t="s">
        <v>715</v>
      </c>
      <c r="B845" s="522">
        <v>0.186</v>
      </c>
      <c r="C845" s="522">
        <v>0</v>
      </c>
      <c r="D845" s="522">
        <f>C845-B845</f>
        <v>-0.186</v>
      </c>
      <c r="E845" s="522">
        <v>1</v>
      </c>
      <c r="F845" s="56"/>
      <c r="G845" s="56"/>
      <c r="H845" s="342"/>
      <c r="I845" s="375"/>
      <c r="J845" s="274"/>
    </row>
    <row r="846" spans="1:10" ht="27.75" customHeight="1">
      <c r="A846" s="246" t="s">
        <v>716</v>
      </c>
      <c r="B846" s="523">
        <v>63.8</v>
      </c>
      <c r="C846" s="523">
        <v>60.65</v>
      </c>
      <c r="D846" s="523">
        <f aca="true" t="shared" si="66" ref="D846:D862">C846-B846</f>
        <v>-3.1499999999999986</v>
      </c>
      <c r="E846" s="523">
        <f>B846/C846</f>
        <v>1.051937345424567</v>
      </c>
      <c r="F846" s="350"/>
      <c r="G846" s="351"/>
      <c r="H846" s="351"/>
      <c r="I846" s="351"/>
      <c r="J846" s="274"/>
    </row>
    <row r="847" spans="1:10" ht="30.75" customHeight="1">
      <c r="A847" s="246" t="s">
        <v>717</v>
      </c>
      <c r="B847" s="523">
        <v>78.5</v>
      </c>
      <c r="C847" s="523">
        <v>75.5</v>
      </c>
      <c r="D847" s="523">
        <f t="shared" si="66"/>
        <v>-3</v>
      </c>
      <c r="E847" s="523">
        <f>B847/C847</f>
        <v>1.0397350993377483</v>
      </c>
      <c r="F847" s="350"/>
      <c r="G847" s="350"/>
      <c r="H847" s="350"/>
      <c r="I847" s="350"/>
      <c r="J847" s="274"/>
    </row>
    <row r="848" spans="1:10" ht="32.25" customHeight="1">
      <c r="A848" s="246" t="s">
        <v>718</v>
      </c>
      <c r="B848" s="523">
        <v>7.7</v>
      </c>
      <c r="C848" s="523">
        <v>2.876</v>
      </c>
      <c r="D848" s="523">
        <f t="shared" si="66"/>
        <v>-4.824</v>
      </c>
      <c r="E848" s="523">
        <f>B848/C848</f>
        <v>2.6773296244784426</v>
      </c>
      <c r="F848" s="350"/>
      <c r="G848" s="350"/>
      <c r="H848" s="350"/>
      <c r="I848" s="350"/>
      <c r="J848" s="274"/>
    </row>
    <row r="849" spans="1:10" ht="27" customHeight="1">
      <c r="A849" s="246" t="s">
        <v>719</v>
      </c>
      <c r="B849" s="523">
        <v>977.27</v>
      </c>
      <c r="C849" s="523">
        <v>178.234</v>
      </c>
      <c r="D849" s="523">
        <f t="shared" si="66"/>
        <v>-799.036</v>
      </c>
      <c r="E849" s="523">
        <f>B849/C849</f>
        <v>5.483072814390071</v>
      </c>
      <c r="F849" s="350"/>
      <c r="G849" s="350"/>
      <c r="H849" s="350"/>
      <c r="I849" s="350"/>
      <c r="J849" s="274"/>
    </row>
    <row r="850" spans="1:10" ht="40.5" customHeight="1">
      <c r="A850" s="245" t="s">
        <v>730</v>
      </c>
      <c r="B850" s="522">
        <v>98</v>
      </c>
      <c r="C850" s="522">
        <v>98</v>
      </c>
      <c r="D850" s="522">
        <f t="shared" si="66"/>
        <v>0</v>
      </c>
      <c r="E850" s="522">
        <f aca="true" t="shared" si="67" ref="E850:E857">C850/B850</f>
        <v>1</v>
      </c>
      <c r="F850" s="350"/>
      <c r="G850" s="350"/>
      <c r="H850" s="350"/>
      <c r="I850" s="350"/>
      <c r="J850" s="274"/>
    </row>
    <row r="851" spans="1:10" ht="27" customHeight="1">
      <c r="A851" s="245" t="s">
        <v>731</v>
      </c>
      <c r="B851" s="522">
        <v>0.12</v>
      </c>
      <c r="C851" s="522">
        <v>0.12</v>
      </c>
      <c r="D851" s="522">
        <f t="shared" si="66"/>
        <v>0</v>
      </c>
      <c r="E851" s="522">
        <f t="shared" si="67"/>
        <v>1</v>
      </c>
      <c r="F851" s="56"/>
      <c r="G851" s="56"/>
      <c r="H851" s="111"/>
      <c r="I851" s="56"/>
      <c r="J851" s="274"/>
    </row>
    <row r="852" spans="1:10" ht="27" customHeight="1">
      <c r="A852" s="246" t="s">
        <v>732</v>
      </c>
      <c r="B852" s="522">
        <v>4873.6</v>
      </c>
      <c r="C852" s="522">
        <v>4651.61</v>
      </c>
      <c r="D852" s="522">
        <f t="shared" si="66"/>
        <v>-221.9900000000007</v>
      </c>
      <c r="E852" s="522">
        <f t="shared" si="67"/>
        <v>0.9544505088640839</v>
      </c>
      <c r="F852" s="56"/>
      <c r="G852" s="56"/>
      <c r="H852" s="111"/>
      <c r="I852" s="56"/>
      <c r="J852" s="274"/>
    </row>
    <row r="853" spans="1:10" ht="15.75" customHeight="1">
      <c r="A853" s="246" t="s">
        <v>733</v>
      </c>
      <c r="B853" s="522">
        <v>13.35</v>
      </c>
      <c r="C853" s="522">
        <v>12.74</v>
      </c>
      <c r="D853" s="522">
        <f t="shared" si="66"/>
        <v>-0.6099999999999994</v>
      </c>
      <c r="E853" s="522">
        <f t="shared" si="67"/>
        <v>0.954307116104869</v>
      </c>
      <c r="F853" s="56"/>
      <c r="G853" s="56"/>
      <c r="H853" s="111"/>
      <c r="I853" s="56"/>
      <c r="J853" s="274"/>
    </row>
    <row r="854" spans="1:10" ht="24" customHeight="1">
      <c r="A854" s="246" t="s">
        <v>734</v>
      </c>
      <c r="B854" s="522">
        <v>0.023</v>
      </c>
      <c r="C854" s="522">
        <v>0.019</v>
      </c>
      <c r="D854" s="522">
        <f t="shared" si="66"/>
        <v>-0.004</v>
      </c>
      <c r="E854" s="522">
        <f t="shared" si="67"/>
        <v>0.8260869565217391</v>
      </c>
      <c r="F854" s="56"/>
      <c r="G854" s="56"/>
      <c r="H854" s="111"/>
      <c r="I854" s="56"/>
      <c r="J854" s="274"/>
    </row>
    <row r="855" spans="1:10" ht="25.5" customHeight="1">
      <c r="A855" s="246" t="s">
        <v>478</v>
      </c>
      <c r="B855" s="522">
        <v>0.17</v>
      </c>
      <c r="C855" s="522">
        <v>0.15</v>
      </c>
      <c r="D855" s="522">
        <f t="shared" si="66"/>
        <v>-0.020000000000000018</v>
      </c>
      <c r="E855" s="522">
        <f t="shared" si="67"/>
        <v>0.8823529411764705</v>
      </c>
      <c r="F855" s="56"/>
      <c r="G855" s="56"/>
      <c r="H855" s="111"/>
      <c r="I855" s="56"/>
      <c r="J855" s="274"/>
    </row>
    <row r="856" spans="1:10" ht="21.75" customHeight="1">
      <c r="A856" s="245" t="s">
        <v>479</v>
      </c>
      <c r="B856" s="522">
        <v>0</v>
      </c>
      <c r="C856" s="522">
        <v>0</v>
      </c>
      <c r="D856" s="522">
        <f t="shared" si="66"/>
        <v>0</v>
      </c>
      <c r="E856" s="522">
        <v>1</v>
      </c>
      <c r="F856" s="56"/>
      <c r="G856" s="56"/>
      <c r="H856" s="111"/>
      <c r="I856" s="56"/>
      <c r="J856" s="274"/>
    </row>
    <row r="857" spans="1:10" ht="40.5" customHeight="1">
      <c r="A857" s="245" t="s">
        <v>480</v>
      </c>
      <c r="B857" s="522">
        <v>24</v>
      </c>
      <c r="C857" s="522">
        <v>24</v>
      </c>
      <c r="D857" s="522">
        <f t="shared" si="66"/>
        <v>0</v>
      </c>
      <c r="E857" s="522">
        <f t="shared" si="67"/>
        <v>1</v>
      </c>
      <c r="F857" s="56"/>
      <c r="G857" s="56"/>
      <c r="H857" s="111"/>
      <c r="I857" s="56"/>
      <c r="J857" s="274"/>
    </row>
    <row r="858" spans="1:10" ht="55.5" customHeight="1">
      <c r="A858" s="245" t="s">
        <v>481</v>
      </c>
      <c r="B858" s="522">
        <v>0</v>
      </c>
      <c r="C858" s="522">
        <v>0</v>
      </c>
      <c r="D858" s="522">
        <f t="shared" si="66"/>
        <v>0</v>
      </c>
      <c r="E858" s="522">
        <v>1</v>
      </c>
      <c r="F858" s="56"/>
      <c r="G858" s="56"/>
      <c r="H858" s="111"/>
      <c r="I858" s="56"/>
      <c r="J858" s="274"/>
    </row>
    <row r="859" spans="1:10" ht="55.5" customHeight="1">
      <c r="A859" s="245" t="s">
        <v>482</v>
      </c>
      <c r="B859" s="522">
        <v>0</v>
      </c>
      <c r="C859" s="522">
        <v>0</v>
      </c>
      <c r="D859" s="522">
        <f t="shared" si="66"/>
        <v>0</v>
      </c>
      <c r="E859" s="522">
        <v>1</v>
      </c>
      <c r="F859" s="56"/>
      <c r="G859" s="56"/>
      <c r="H859" s="111"/>
      <c r="I859" s="56"/>
      <c r="J859" s="274"/>
    </row>
    <row r="860" spans="1:10" ht="24.75" customHeight="1">
      <c r="A860" s="246" t="s">
        <v>486</v>
      </c>
      <c r="B860" s="522">
        <v>21.5</v>
      </c>
      <c r="C860" s="522">
        <v>27.82</v>
      </c>
      <c r="D860" s="522">
        <f t="shared" si="66"/>
        <v>6.32</v>
      </c>
      <c r="E860" s="522">
        <f>B860/C860</f>
        <v>0.7728253055355859</v>
      </c>
      <c r="F860" s="56"/>
      <c r="G860" s="56"/>
      <c r="H860" s="111"/>
      <c r="I860" s="56"/>
      <c r="J860" s="274"/>
    </row>
    <row r="861" spans="1:10" ht="31.5" customHeight="1">
      <c r="A861" s="246" t="s">
        <v>668</v>
      </c>
      <c r="B861" s="522">
        <v>8045</v>
      </c>
      <c r="C861" s="522">
        <v>10292.652</v>
      </c>
      <c r="D861" s="522">
        <f t="shared" si="66"/>
        <v>2247.652</v>
      </c>
      <c r="E861" s="522">
        <f>B861/C861</f>
        <v>0.7816255713299157</v>
      </c>
      <c r="F861" s="56"/>
      <c r="G861" s="56"/>
      <c r="H861" s="111"/>
      <c r="I861" s="56"/>
      <c r="J861" s="274"/>
    </row>
    <row r="862" spans="1:10" ht="40.5" customHeight="1">
      <c r="A862" s="246" t="s">
        <v>488</v>
      </c>
      <c r="B862" s="522">
        <v>0.321</v>
      </c>
      <c r="C862" s="522">
        <v>0.512</v>
      </c>
      <c r="D862" s="522">
        <f t="shared" si="66"/>
        <v>0.191</v>
      </c>
      <c r="E862" s="522">
        <f>B862/C862</f>
        <v>0.626953125</v>
      </c>
      <c r="F862" s="56"/>
      <c r="G862" s="56"/>
      <c r="H862" s="111"/>
      <c r="I862" s="56"/>
      <c r="J862" s="274"/>
    </row>
    <row r="863" spans="1:10" ht="57" customHeight="1">
      <c r="A863" s="246" t="s">
        <v>500</v>
      </c>
      <c r="B863" s="522">
        <v>1</v>
      </c>
      <c r="C863" s="522">
        <v>1</v>
      </c>
      <c r="D863" s="522">
        <f aca="true" t="shared" si="68" ref="D863:D874">C863-B863</f>
        <v>0</v>
      </c>
      <c r="E863" s="522">
        <f>C863/B863</f>
        <v>1</v>
      </c>
      <c r="F863" s="56"/>
      <c r="G863" s="56"/>
      <c r="H863" s="111"/>
      <c r="I863" s="56"/>
      <c r="J863" s="274"/>
    </row>
    <row r="864" spans="1:10" ht="23.25" customHeight="1">
      <c r="A864" s="48" t="s">
        <v>491</v>
      </c>
      <c r="B864" s="522">
        <v>6919.99</v>
      </c>
      <c r="C864" s="522">
        <v>4490.54</v>
      </c>
      <c r="D864" s="522">
        <f t="shared" si="68"/>
        <v>-2429.45</v>
      </c>
      <c r="E864" s="522">
        <f>C864/B864</f>
        <v>0.648922903067779</v>
      </c>
      <c r="F864" s="56"/>
      <c r="G864" s="56"/>
      <c r="H864" s="111"/>
      <c r="I864" s="56"/>
      <c r="J864" s="274"/>
    </row>
    <row r="865" spans="1:10" ht="22.5" customHeight="1">
      <c r="A865" s="48" t="s">
        <v>116</v>
      </c>
      <c r="B865" s="522">
        <v>18.96</v>
      </c>
      <c r="C865" s="522">
        <v>12.303</v>
      </c>
      <c r="D865" s="522">
        <f t="shared" si="68"/>
        <v>-6.657</v>
      </c>
      <c r="E865" s="522">
        <f>C865/B865</f>
        <v>0.6488924050632912</v>
      </c>
      <c r="F865" s="56"/>
      <c r="G865" s="56"/>
      <c r="H865" s="111"/>
      <c r="I865" s="56"/>
      <c r="J865" s="274"/>
    </row>
    <row r="866" spans="1:10" ht="22.5" customHeight="1">
      <c r="A866" s="48" t="s">
        <v>495</v>
      </c>
      <c r="B866" s="522">
        <v>0</v>
      </c>
      <c r="C866" s="522">
        <v>0</v>
      </c>
      <c r="D866" s="522">
        <f t="shared" si="68"/>
        <v>0</v>
      </c>
      <c r="E866" s="522">
        <v>1</v>
      </c>
      <c r="F866" s="56"/>
      <c r="G866" s="56"/>
      <c r="H866" s="111"/>
      <c r="I866" s="56"/>
      <c r="J866" s="274"/>
    </row>
    <row r="867" spans="1:10" ht="29.25" customHeight="1">
      <c r="A867" s="48" t="s">
        <v>480</v>
      </c>
      <c r="B867" s="522">
        <v>100</v>
      </c>
      <c r="C867" s="522">
        <v>100</v>
      </c>
      <c r="D867" s="522">
        <f t="shared" si="68"/>
        <v>0</v>
      </c>
      <c r="E867" s="522">
        <f>C867/B867</f>
        <v>1</v>
      </c>
      <c r="F867" s="56"/>
      <c r="G867" s="56"/>
      <c r="H867" s="111"/>
      <c r="I867" s="56"/>
      <c r="J867" s="274"/>
    </row>
    <row r="868" spans="1:10" ht="40.5" customHeight="1">
      <c r="A868" s="48" t="s">
        <v>117</v>
      </c>
      <c r="B868" s="522">
        <v>0.007</v>
      </c>
      <c r="C868" s="522">
        <v>0</v>
      </c>
      <c r="D868" s="522">
        <f t="shared" si="68"/>
        <v>-0.007</v>
      </c>
      <c r="E868" s="522">
        <v>1</v>
      </c>
      <c r="F868" s="56"/>
      <c r="G868" s="56"/>
      <c r="H868" s="111"/>
      <c r="I868" s="56"/>
      <c r="J868" s="274"/>
    </row>
    <row r="869" spans="1:10" ht="30.75" customHeight="1">
      <c r="A869" s="48" t="s">
        <v>118</v>
      </c>
      <c r="B869" s="522">
        <v>75.23</v>
      </c>
      <c r="C869" s="522">
        <v>125.12</v>
      </c>
      <c r="D869" s="522">
        <f t="shared" si="68"/>
        <v>49.89</v>
      </c>
      <c r="E869" s="522">
        <f>B869/C869</f>
        <v>0.6012627877237852</v>
      </c>
      <c r="F869" s="56"/>
      <c r="G869" s="56"/>
      <c r="H869" s="111"/>
      <c r="I869" s="56"/>
      <c r="J869" s="274"/>
    </row>
    <row r="870" spans="1:10" ht="27.75" customHeight="1">
      <c r="A870" s="48" t="s">
        <v>119</v>
      </c>
      <c r="B870" s="522">
        <v>55.67</v>
      </c>
      <c r="C870" s="522">
        <v>82.34</v>
      </c>
      <c r="D870" s="522">
        <f t="shared" si="68"/>
        <v>26.67</v>
      </c>
      <c r="E870" s="522">
        <f>B870/C870</f>
        <v>0.6760991012873452</v>
      </c>
      <c r="F870" s="56"/>
      <c r="G870" s="56"/>
      <c r="H870" s="111"/>
      <c r="I870" s="56"/>
      <c r="J870" s="274"/>
    </row>
    <row r="871" spans="1:10" ht="30.75" customHeight="1">
      <c r="A871" s="48" t="s">
        <v>120</v>
      </c>
      <c r="B871" s="522">
        <v>1.4</v>
      </c>
      <c r="C871" s="522">
        <v>0</v>
      </c>
      <c r="D871" s="522">
        <f t="shared" si="68"/>
        <v>-1.4</v>
      </c>
      <c r="E871" s="522">
        <v>1</v>
      </c>
      <c r="F871" s="56"/>
      <c r="G871" s="56"/>
      <c r="H871" s="111"/>
      <c r="I871" s="56"/>
      <c r="J871" s="274"/>
    </row>
    <row r="872" spans="1:10" ht="32.25" customHeight="1">
      <c r="A872" s="48" t="s">
        <v>121</v>
      </c>
      <c r="B872" s="522">
        <v>0</v>
      </c>
      <c r="C872" s="522">
        <v>0</v>
      </c>
      <c r="D872" s="522">
        <f t="shared" si="68"/>
        <v>0</v>
      </c>
      <c r="E872" s="522">
        <v>1</v>
      </c>
      <c r="F872" s="56"/>
      <c r="G872" s="56"/>
      <c r="H872" s="111"/>
      <c r="I872" s="56"/>
      <c r="J872" s="274"/>
    </row>
    <row r="873" spans="1:10" ht="40.5" customHeight="1">
      <c r="A873" s="48" t="s">
        <v>122</v>
      </c>
      <c r="B873" s="522">
        <v>0.561</v>
      </c>
      <c r="C873" s="522">
        <v>0.863</v>
      </c>
      <c r="D873" s="522">
        <f t="shared" si="68"/>
        <v>0.30199999999999994</v>
      </c>
      <c r="E873" s="522">
        <f>B873/C873</f>
        <v>0.6500579374275783</v>
      </c>
      <c r="F873" s="56"/>
      <c r="G873" s="56"/>
      <c r="H873" s="111"/>
      <c r="I873" s="56"/>
      <c r="J873" s="274"/>
    </row>
    <row r="874" spans="1:10" ht="25.5" customHeight="1">
      <c r="A874" s="48" t="s">
        <v>123</v>
      </c>
      <c r="B874" s="522">
        <v>133.87</v>
      </c>
      <c r="C874" s="522">
        <v>86.08</v>
      </c>
      <c r="D874" s="522">
        <f t="shared" si="68"/>
        <v>-47.790000000000006</v>
      </c>
      <c r="E874" s="522">
        <f>C874/B874</f>
        <v>0.643011877194293</v>
      </c>
      <c r="F874" s="56"/>
      <c r="G874" s="56"/>
      <c r="H874" s="111"/>
      <c r="I874" s="56"/>
      <c r="J874" s="274"/>
    </row>
    <row r="875" spans="1:10" ht="18.75" customHeight="1">
      <c r="A875" s="155" t="s">
        <v>30</v>
      </c>
      <c r="B875" s="155">
        <f>SUM(B845:B874)</f>
        <v>21510.228</v>
      </c>
      <c r="C875" s="155">
        <f>SUM(C845:C874)</f>
        <v>20323.129</v>
      </c>
      <c r="D875" s="155">
        <f>C875-B875</f>
        <v>-1187.0989999999983</v>
      </c>
      <c r="E875" s="285">
        <f>SUM(E845:E874)/30</f>
        <v>1.0972974473309187</v>
      </c>
      <c r="F875" s="149">
        <f>SUM(F841:F844)</f>
        <v>12907000</v>
      </c>
      <c r="G875" s="149">
        <f>SUM(G841:G844)</f>
        <v>12906991.77</v>
      </c>
      <c r="H875" s="148">
        <f>G875/F875</f>
        <v>0.9999993623615092</v>
      </c>
      <c r="I875" s="156">
        <f>E875/H875</f>
        <v>1.097298147010453</v>
      </c>
      <c r="J875" s="466"/>
    </row>
    <row r="876" spans="1:10" ht="25.5">
      <c r="A876" s="106" t="s">
        <v>759</v>
      </c>
      <c r="B876" s="125"/>
      <c r="C876" s="125"/>
      <c r="D876" s="121"/>
      <c r="E876" s="79"/>
      <c r="F876" s="57">
        <f>F875/F885</f>
        <v>0.005090739065440649</v>
      </c>
      <c r="G876" s="57">
        <f>G875/G885</f>
        <v>0.005145303286072426</v>
      </c>
      <c r="H876" s="57"/>
      <c r="I876" s="79"/>
      <c r="J876" s="467"/>
    </row>
    <row r="877" spans="1:10" ht="28.5" customHeight="1">
      <c r="A877" s="563" t="s">
        <v>127</v>
      </c>
      <c r="B877" s="563"/>
      <c r="C877" s="563"/>
      <c r="D877" s="563"/>
      <c r="E877" s="563"/>
      <c r="F877" s="563"/>
      <c r="G877" s="563"/>
      <c r="H877" s="563"/>
      <c r="I877" s="563"/>
      <c r="J877" s="563"/>
    </row>
    <row r="878" spans="1:10" ht="25.5">
      <c r="A878" s="364" t="s">
        <v>627</v>
      </c>
      <c r="B878" s="180"/>
      <c r="C878" s="180"/>
      <c r="D878" s="181"/>
      <c r="E878" s="182"/>
      <c r="F878" s="183">
        <v>2524000</v>
      </c>
      <c r="G878" s="183">
        <v>2524000</v>
      </c>
      <c r="H878" s="182">
        <f>G878/F878</f>
        <v>1</v>
      </c>
      <c r="I878" s="181"/>
      <c r="J878" s="179"/>
    </row>
    <row r="879" spans="1:10" ht="25.5">
      <c r="A879" s="364" t="s">
        <v>602</v>
      </c>
      <c r="B879" s="180">
        <v>62</v>
      </c>
      <c r="C879" s="180">
        <v>62</v>
      </c>
      <c r="D879" s="181">
        <v>0</v>
      </c>
      <c r="E879" s="182">
        <f>C879/B879</f>
        <v>1</v>
      </c>
      <c r="F879" s="183"/>
      <c r="G879" s="183"/>
      <c r="H879" s="182"/>
      <c r="I879" s="181"/>
      <c r="J879" s="179"/>
    </row>
    <row r="880" spans="1:10" ht="25.5">
      <c r="A880" s="364" t="s">
        <v>603</v>
      </c>
      <c r="B880" s="181">
        <v>14.86</v>
      </c>
      <c r="C880" s="181">
        <v>14.86</v>
      </c>
      <c r="D880" s="181">
        <v>0</v>
      </c>
      <c r="E880" s="182">
        <f>C880/B880</f>
        <v>1</v>
      </c>
      <c r="F880" s="184"/>
      <c r="G880" s="184"/>
      <c r="H880" s="182"/>
      <c r="I880" s="181"/>
      <c r="J880" s="179"/>
    </row>
    <row r="881" spans="1:10" ht="12.75">
      <c r="A881" s="155" t="s">
        <v>501</v>
      </c>
      <c r="B881" s="155">
        <f>SUM(B879:B880)</f>
        <v>76.86</v>
      </c>
      <c r="C881" s="155">
        <f>SUM(C879:C880)</f>
        <v>76.86</v>
      </c>
      <c r="D881" s="155">
        <f>SUM(D879:D880)</f>
        <v>0</v>
      </c>
      <c r="E881" s="285">
        <f>C881/B881</f>
        <v>1</v>
      </c>
      <c r="F881" s="149">
        <f>F878</f>
        <v>2524000</v>
      </c>
      <c r="G881" s="149">
        <f>G878</f>
        <v>2524000</v>
      </c>
      <c r="H881" s="148">
        <f>G881/F881</f>
        <v>1</v>
      </c>
      <c r="I881" s="156">
        <f>E881/H881</f>
        <v>1</v>
      </c>
      <c r="J881" s="466"/>
    </row>
    <row r="882" spans="1:10" ht="25.5">
      <c r="A882" s="106" t="s">
        <v>759</v>
      </c>
      <c r="B882" s="125"/>
      <c r="C882" s="125"/>
      <c r="D882" s="121"/>
      <c r="E882" s="79"/>
      <c r="F882" s="134">
        <f>F881/F885</f>
        <v>0.0009955082824182379</v>
      </c>
      <c r="G882" s="134">
        <f>G881/G885</f>
        <v>0.001006179110165095</v>
      </c>
      <c r="H882" s="33"/>
      <c r="I882" s="33"/>
      <c r="J882" s="467"/>
    </row>
    <row r="883" spans="1:10" ht="12.75">
      <c r="A883" s="294" t="s">
        <v>178</v>
      </c>
      <c r="B883" s="301"/>
      <c r="C883" s="301"/>
      <c r="D883" s="301"/>
      <c r="E883" s="295"/>
      <c r="F883" s="296">
        <f>F650+F671+F718+F769+F810+F824+F831+F838+F875+F881</f>
        <v>1225014000</v>
      </c>
      <c r="G883" s="296">
        <f>G650+G671+G718+G769+G810+G824+G831+G838+G875+G881</f>
        <v>1215411941.9099998</v>
      </c>
      <c r="H883" s="295">
        <f>G883/F883</f>
        <v>0.9921616748135123</v>
      </c>
      <c r="I883" s="295">
        <f>(I650+I671+I718+I769+I810+I824+I831+I838+I875+I881)/10</f>
        <v>1.0238578310425563</v>
      </c>
      <c r="J883" s="468"/>
    </row>
    <row r="884" spans="1:10" ht="25.5">
      <c r="A884" s="1" t="s">
        <v>759</v>
      </c>
      <c r="B884" s="125"/>
      <c r="C884" s="125"/>
      <c r="D884" s="121"/>
      <c r="E884" s="79"/>
      <c r="F884" s="57">
        <f>F883/F885</f>
        <v>0.4831662373527319</v>
      </c>
      <c r="G884" s="57">
        <f>G883/G885</f>
        <v>0.4845174747206948</v>
      </c>
      <c r="H884" s="11"/>
      <c r="I884" s="11"/>
      <c r="J884" s="469"/>
    </row>
    <row r="885" spans="1:10" ht="13.5">
      <c r="A885" s="376" t="s">
        <v>179</v>
      </c>
      <c r="B885" s="301"/>
      <c r="C885" s="301"/>
      <c r="D885" s="301"/>
      <c r="E885" s="295"/>
      <c r="F885" s="297">
        <f>F642+F883</f>
        <v>2535388247.97</v>
      </c>
      <c r="G885" s="297">
        <f>G642+G883</f>
        <v>2508499703.9799995</v>
      </c>
      <c r="H885" s="298">
        <f>G885/F885</f>
        <v>0.9893947035482519</v>
      </c>
      <c r="I885" s="295">
        <f>G643*I642+G884*I883</f>
        <v>1.0413662016297254</v>
      </c>
      <c r="J885" s="470"/>
    </row>
    <row r="886" spans="1:6" ht="12.75">
      <c r="A886" s="28"/>
      <c r="F886" s="73"/>
    </row>
    <row r="888" spans="1:10" s="28" customFormat="1" ht="15.75">
      <c r="A888" s="252"/>
      <c r="B888" s="253"/>
      <c r="C888" s="253"/>
      <c r="D888" s="253"/>
      <c r="E888" s="253"/>
      <c r="J888" s="472"/>
    </row>
    <row r="889" spans="1:10" s="28" customFormat="1" ht="15.75">
      <c r="A889" s="252"/>
      <c r="B889" s="253"/>
      <c r="C889" s="253"/>
      <c r="D889" s="253"/>
      <c r="E889" s="253"/>
      <c r="J889" s="472"/>
    </row>
    <row r="890" spans="1:10" s="28" customFormat="1" ht="15.75">
      <c r="A890" s="252"/>
      <c r="B890" s="253"/>
      <c r="C890" s="253"/>
      <c r="D890" s="253"/>
      <c r="E890" s="253"/>
      <c r="J890" s="472"/>
    </row>
    <row r="891" spans="1:10" s="28" customFormat="1" ht="15.75">
      <c r="A891" s="252"/>
      <c r="B891" s="253"/>
      <c r="C891" s="253"/>
      <c r="D891" s="253"/>
      <c r="E891" s="253"/>
      <c r="J891" s="472"/>
    </row>
    <row r="892" spans="1:10" s="28" customFormat="1" ht="15.75">
      <c r="A892" s="252"/>
      <c r="B892" s="253"/>
      <c r="C892" s="253"/>
      <c r="D892" s="253"/>
      <c r="E892" s="253"/>
      <c r="J892" s="472"/>
    </row>
    <row r="893" spans="1:10" s="28" customFormat="1" ht="15.75">
      <c r="A893" s="252"/>
      <c r="B893" s="253"/>
      <c r="C893" s="253"/>
      <c r="D893" s="253"/>
      <c r="E893" s="253"/>
      <c r="J893" s="472"/>
    </row>
    <row r="894" spans="1:10" s="28" customFormat="1" ht="15.75">
      <c r="A894" s="252"/>
      <c r="B894" s="253"/>
      <c r="C894" s="253"/>
      <c r="D894" s="253"/>
      <c r="E894" s="253"/>
      <c r="J894" s="472"/>
    </row>
    <row r="895" spans="1:10" s="28" customFormat="1" ht="15.75">
      <c r="A895" s="252"/>
      <c r="B895" s="253"/>
      <c r="C895" s="253"/>
      <c r="D895" s="253"/>
      <c r="E895" s="253"/>
      <c r="J895" s="472"/>
    </row>
    <row r="896" spans="1:10" s="28" customFormat="1" ht="15.75">
      <c r="A896" s="252"/>
      <c r="B896" s="253"/>
      <c r="C896" s="253"/>
      <c r="D896" s="253"/>
      <c r="E896" s="253"/>
      <c r="J896" s="472"/>
    </row>
    <row r="897" spans="1:10" s="28" customFormat="1" ht="15.75">
      <c r="A897" s="252"/>
      <c r="B897" s="253"/>
      <c r="C897" s="253"/>
      <c r="D897" s="253"/>
      <c r="E897" s="253"/>
      <c r="J897" s="472"/>
    </row>
    <row r="898" spans="1:10" s="28" customFormat="1" ht="15.75">
      <c r="A898" s="252"/>
      <c r="B898" s="253"/>
      <c r="C898" s="253"/>
      <c r="D898" s="253"/>
      <c r="E898" s="253"/>
      <c r="J898" s="472"/>
    </row>
    <row r="899" s="28" customFormat="1" ht="12.75">
      <c r="J899" s="472"/>
    </row>
  </sheetData>
  <sheetProtection/>
  <mergeCells count="111">
    <mergeCell ref="A424:J424"/>
    <mergeCell ref="A426:J426"/>
    <mergeCell ref="A387:J387"/>
    <mergeCell ref="A307:J307"/>
    <mergeCell ref="A298:J298"/>
    <mergeCell ref="A479:I479"/>
    <mergeCell ref="A478:J478"/>
    <mergeCell ref="A437:J437"/>
    <mergeCell ref="A457:J457"/>
    <mergeCell ref="A375:J375"/>
    <mergeCell ref="A429:J430"/>
    <mergeCell ref="A394:I394"/>
    <mergeCell ref="A413:J413"/>
    <mergeCell ref="A1:J1"/>
    <mergeCell ref="A2:J2"/>
    <mergeCell ref="I3:I4"/>
    <mergeCell ref="F3:G3"/>
    <mergeCell ref="A3:A4"/>
    <mergeCell ref="E3:E4"/>
    <mergeCell ref="H3:H4"/>
    <mergeCell ref="J3:J4"/>
    <mergeCell ref="B3:D3"/>
    <mergeCell ref="A6:J6"/>
    <mergeCell ref="A7:J7"/>
    <mergeCell ref="A17:J17"/>
    <mergeCell ref="A22:J22"/>
    <mergeCell ref="A18:J18"/>
    <mergeCell ref="A144:J144"/>
    <mergeCell ref="A45:J45"/>
    <mergeCell ref="A128:J128"/>
    <mergeCell ref="A78:J78"/>
    <mergeCell ref="A79:J79"/>
    <mergeCell ref="A70:J70"/>
    <mergeCell ref="A143:J143"/>
    <mergeCell ref="A122:J122"/>
    <mergeCell ref="A102:J102"/>
    <mergeCell ref="A877:J877"/>
    <mergeCell ref="A833:J833"/>
    <mergeCell ref="A772:J772"/>
    <mergeCell ref="A813:I813"/>
    <mergeCell ref="A840:I840"/>
    <mergeCell ref="A820:J820"/>
    <mergeCell ref="A826:J826"/>
    <mergeCell ref="A812:J812"/>
    <mergeCell ref="A827:J827"/>
    <mergeCell ref="A784:J784"/>
    <mergeCell ref="A565:J565"/>
    <mergeCell ref="A584:J584"/>
    <mergeCell ref="A771:J771"/>
    <mergeCell ref="A741:J741"/>
    <mergeCell ref="A720:J720"/>
    <mergeCell ref="A721:J721"/>
    <mergeCell ref="J754:J756"/>
    <mergeCell ref="A759:J759"/>
    <mergeCell ref="A666:J666"/>
    <mergeCell ref="A471:J471"/>
    <mergeCell ref="A448:J448"/>
    <mergeCell ref="A795:J795"/>
    <mergeCell ref="A798:J798"/>
    <mergeCell ref="A388:I388"/>
    <mergeCell ref="J588:J596"/>
    <mergeCell ref="A653:J653"/>
    <mergeCell ref="A652:J652"/>
    <mergeCell ref="A521:J521"/>
    <mergeCell ref="A629:J629"/>
    <mergeCell ref="D148:D149"/>
    <mergeCell ref="J317:J323"/>
    <mergeCell ref="A619:J619"/>
    <mergeCell ref="A646:J646"/>
    <mergeCell ref="A673:J673"/>
    <mergeCell ref="A396:J396"/>
    <mergeCell ref="A404:J404"/>
    <mergeCell ref="A645:J645"/>
    <mergeCell ref="A614:J614"/>
    <mergeCell ref="A647:J647"/>
    <mergeCell ref="A289:J289"/>
    <mergeCell ref="A290:J290"/>
    <mergeCell ref="A447:J447"/>
    <mergeCell ref="A443:J443"/>
    <mergeCell ref="E148:E149"/>
    <mergeCell ref="I150:I151"/>
    <mergeCell ref="B155:B156"/>
    <mergeCell ref="C155:C156"/>
    <mergeCell ref="B148:B149"/>
    <mergeCell ref="C148:C149"/>
    <mergeCell ref="A153:J153"/>
    <mergeCell ref="F150:F151"/>
    <mergeCell ref="G150:G151"/>
    <mergeCell ref="H150:H151"/>
    <mergeCell ref="A186:J186"/>
    <mergeCell ref="A167:J167"/>
    <mergeCell ref="I148:I149"/>
    <mergeCell ref="J148:J149"/>
    <mergeCell ref="B150:B151"/>
    <mergeCell ref="C150:C151"/>
    <mergeCell ref="D150:D151"/>
    <mergeCell ref="E150:E151"/>
    <mergeCell ref="J150:J151"/>
    <mergeCell ref="F148:F149"/>
    <mergeCell ref="G148:G149"/>
    <mergeCell ref="H148:H149"/>
    <mergeCell ref="A473:A474"/>
    <mergeCell ref="A781:J781"/>
    <mergeCell ref="D155:D156"/>
    <mergeCell ref="E155:E156"/>
    <mergeCell ref="F155:F156"/>
    <mergeCell ref="G155:G156"/>
    <mergeCell ref="H155:H156"/>
    <mergeCell ref="A158:J158"/>
    <mergeCell ref="J155:J156"/>
    <mergeCell ref="I155:I156"/>
  </mergeCells>
  <printOptions/>
  <pageMargins left="0.1968503937007874" right="0.1968503937007874" top="0.31496062992125984" bottom="0.31496062992125984" header="0.11811023622047245" footer="0.118110236220472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Путинцева Ирина Михайловна</cp:lastModifiedBy>
  <cp:lastPrinted>2021-03-29T04:42:52Z</cp:lastPrinted>
  <dcterms:created xsi:type="dcterms:W3CDTF">2010-05-14T04:48:35Z</dcterms:created>
  <dcterms:modified xsi:type="dcterms:W3CDTF">2021-03-29T08:50:55Z</dcterms:modified>
  <cp:category/>
  <cp:version/>
  <cp:contentType/>
  <cp:contentStatus/>
</cp:coreProperties>
</file>