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вод 2019" sheetId="1" r:id="rId1"/>
  </sheets>
  <definedNames/>
  <calcPr fullCalcOnLoad="1"/>
</workbook>
</file>

<file path=xl/sharedStrings.xml><?xml version="1.0" encoding="utf-8"?>
<sst xmlns="http://schemas.openxmlformats.org/spreadsheetml/2006/main" count="946" uniqueCount="728">
  <si>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 </t>
  </si>
  <si>
    <t>Подпрограмма 2 "Повышение безопасности дорожного движения"</t>
  </si>
  <si>
    <t>Итого по подпрограмме 2:</t>
  </si>
  <si>
    <t>Подпрограмма 3 "Организация деятельности муниципальными учреждениями (предприятиями)"</t>
  </si>
  <si>
    <t>Организация содержания и ремонта муниципального жилищного фонда (МБУ «ОМОС»)</t>
  </si>
  <si>
    <t>Проведение ухода за лесами, осуществление лесовосстановления и лесоразведения  (МКУ «Снежинское лесничество»)</t>
  </si>
  <si>
    <t>Степень соответствия правовой нормативной базы по вопросам муниципальной службы законодательству Российской Федерации и Челябинской области, в процентах от общего количества принятых муниципальных правовых актов по вопросам муниципальной службы</t>
  </si>
  <si>
    <t>УСЗН</t>
  </si>
  <si>
    <t>Соблюдение норматива формирования бюджета Снежинского городского округа на оплату труда выборных должностных лиц, осуществляющих свои полномочия на постоянной основе и муниципальных служащих в соответствии с НПА Правительства Челябинской области</t>
  </si>
  <si>
    <t>Наличие на официальном сайте органов местного самоуправления города Снежинска сведений обязательных для размещения в информационно-телекоммуникационной сети Интернет</t>
  </si>
  <si>
    <t xml:space="preserve">да </t>
  </si>
  <si>
    <t>Просроченная задолженность по долговым обязательствам Снежинского городского округа</t>
  </si>
  <si>
    <t>4. Муниципальная Программа "Развитие физической культуры и спорта в Снежинском городском округе" на 2018-2021 г.г.</t>
  </si>
  <si>
    <t>5. Муниципальная Программа "Создание условий для устойчивого экономического развития" на 2016 - 2021 гг.</t>
  </si>
  <si>
    <t>7. Муниципальная Программа "Развитие образования в Снежинском городском округе" на 2018 - 2023 гг.</t>
  </si>
  <si>
    <t>Итого по программе 8</t>
  </si>
  <si>
    <t xml:space="preserve">10. Муниципальная Программа «Комплексное развитие систем коммунальной инфраструктуры Снежинского городского округа» на 2017-2026 гг. </t>
  </si>
  <si>
    <t>11. Муниципальная Программа "Комплексное развитие транспортной инфраструктуры в Снежинском городском округе" на 2016-2026 гг.</t>
  </si>
  <si>
    <t>15. Муниципальная Программа "Управление муниципальными финансами и муниципальным долгом Снежинского городского округа" на 2018-2023 гг.</t>
  </si>
  <si>
    <t>Обеспечение деятельности МКУ "УГХ СГО"</t>
  </si>
  <si>
    <t>Обеспечение необходимыми услугами и материалами сотрудников МКУ "УГХ СГО", %</t>
  </si>
  <si>
    <t>Подпрограмма 1 "Содержание инфраструктуры городского хозяйства"</t>
  </si>
  <si>
    <t>Содержание и ремонт автодорог</t>
  </si>
  <si>
    <t>Подпрограмма 3 «Организация деятельности муниципальными учреждениями (предприятиями)»</t>
  </si>
  <si>
    <t>Обеспечение деятельности МКУ «УГХ СГО»</t>
  </si>
  <si>
    <t>Проведение анализа предоставленных налоговых льгот (в т.ч.за счет установления пониженных налоговых ставок) по местным налогам</t>
  </si>
  <si>
    <t>да</t>
  </si>
  <si>
    <t>3.1. Сохранение нематериального культурного наследия населения, формирование у граждан устойчивого интереса к культурно-творческим мероприятиям</t>
  </si>
  <si>
    <t>Повышение квалификации муниципальных служащих города (с получением свидетельства государственного образца), участие в семинарах, конференциях по профильным направлениям деятельности и вопросам муниципальной службы</t>
  </si>
  <si>
    <t>16. Муниципальная Программа "Энергосбережение и повышение энергетической эффективности на территории муниципального образования "Город Снежинск" на 2017-2022 гг.</t>
  </si>
  <si>
    <t>Итого  по Программе 6</t>
  </si>
  <si>
    <t>8. Муниципальная Программа "Формирование современной городской среды Снежинского городского округа" на 2017-2022 гг.</t>
  </si>
  <si>
    <t>Стимулирование (поощрение) граждан и членов общественного формирования правоохранительной направленности, оказывающих содействие органам внутренних дел в охране общественного порядка и борьбы            с преступностью,               а также обеспечение форменным обмундированием, удостоверениями и т.д.)</t>
  </si>
  <si>
    <t>Количество утвержденных транспортных маршрутов</t>
  </si>
  <si>
    <t>Итого по подпрограмме 3</t>
  </si>
  <si>
    <t>Итого по подпрограмме 4</t>
  </si>
  <si>
    <t>Итого по Программе 9</t>
  </si>
  <si>
    <t>Пробег ТС по маршрутам</t>
  </si>
  <si>
    <t>Количество перевезенных пассажиров</t>
  </si>
  <si>
    <t>Без учета кредиторской задолженности за декабрь 2019</t>
  </si>
  <si>
    <t xml:space="preserve">Без учета кредиторской задолженности за декабрь 2019 года  </t>
  </si>
  <si>
    <t>Площадь текущего ремонта улично-дорожной сети (ямочного, картами)</t>
  </si>
  <si>
    <t xml:space="preserve">Без учета кредиторской задолженности за декабрь 2019года </t>
  </si>
  <si>
    <t>Без учета кредиторской задолженности за декабрь 2019 года</t>
  </si>
  <si>
    <t>Капитальный ремонт объектов</t>
  </si>
  <si>
    <t>недофинансирование</t>
  </si>
  <si>
    <t>Протяженность обслуживаемой дорожной сети</t>
  </si>
  <si>
    <t>Организация весеннего субботника</t>
  </si>
  <si>
    <t>Рлощадь газонов на содержании</t>
  </si>
  <si>
    <t>Протяженность живой изгороди улиц на содержании</t>
  </si>
  <si>
    <t>Объем мусора, ликвидированного с несанкционированных свалок</t>
  </si>
  <si>
    <t>Количество безнадзорных животных, подвергнутых отлову</t>
  </si>
  <si>
    <t>Задача 1 Организация и осуществление мероприятий по гражданской обороне, защите населения и территорий городского округа от чрезвычайных ситуаций природного и техногенного характера.</t>
  </si>
  <si>
    <t xml:space="preserve">Недофинансирование , в связи с дефицитом бюджета </t>
  </si>
  <si>
    <t>6.1 Финансовое обеспечение деятельности МБУ "ЦОДУК"</t>
  </si>
  <si>
    <t>Итого по подпрограмме 6</t>
  </si>
  <si>
    <t>Денежное поощрение педагогических работников по итогам работы за учебный год с одаренными детьми в области образования</t>
  </si>
  <si>
    <t>Направление 3. Содержание и сохранность муниципального имущества.</t>
  </si>
  <si>
    <t>Компенсация расходов на оплату жилых помещений и коммунальных услуг (дополнительные меры социальной защиты ветеранов Челябинской области, сельские педагоги)</t>
  </si>
  <si>
    <t>Ежегодная денежная выплата лицам, награжденным нагрудным знаком «Почетный донор»</t>
  </si>
  <si>
    <t>Подрограмма 1 "Содержание инфраструктуры городского хозяйства"</t>
  </si>
  <si>
    <t>Организация регулярных пассажирских перевозок населения городским транспортом общего пользования по регулируемым тарифам на внутримуниципальных маршрутах</t>
  </si>
  <si>
    <t>Владение, пользование и распоряжение имуществом, находящимся в муниципальной собственности</t>
  </si>
  <si>
    <t>Организация освещения улиц</t>
  </si>
  <si>
    <t>Уходные работы за насаждениями</t>
  </si>
  <si>
    <t>Содержание, текущий ремонт объектов внешнего благоустройства</t>
  </si>
  <si>
    <t>Итого по подпрограмме 1:</t>
  </si>
  <si>
    <t>Благоустройство спуска к озеру Синара от бул.Циолковского</t>
  </si>
  <si>
    <t xml:space="preserve">Количество молодых граждан в возрасте от 14 до 30 лет, принявших участие в реализации мероприятий патриотической направленности
</t>
  </si>
  <si>
    <t>Направление 2. Совершенствование системы учета муниципального имущества, земельных участков и контроля за их использованием.</t>
  </si>
  <si>
    <t>Итого по подпрограмме 2</t>
  </si>
  <si>
    <t>Протяженность обслуживаемой улично-дорожной сети</t>
  </si>
  <si>
    <t>Площадь наносимой дорожной разметки</t>
  </si>
  <si>
    <t>Количество обслуживаемых светофорных объектов</t>
  </si>
  <si>
    <t>Протяженность обслуживаемых линий наружного освещения</t>
  </si>
  <si>
    <t>Протяженность обслуживаемых водопроводных сетей</t>
  </si>
  <si>
    <t>Площадь обслуживаемых помещений</t>
  </si>
  <si>
    <t>Площадь газонов на содержании</t>
  </si>
  <si>
    <t>Протяженность живой изгороди на содержании</t>
  </si>
  <si>
    <t>Количество деревьев, подлежащих формовочной обрезке</t>
  </si>
  <si>
    <t>Количество цветочной рассады, подлежащей высадке</t>
  </si>
  <si>
    <t>Площадь объектов благоустройства, находящихся на содержании</t>
  </si>
  <si>
    <t>Площадь территорий, подлежащих акарицидной обработке</t>
  </si>
  <si>
    <t>в связи с отсутствием средств местного бюджета на финанстрование данного мероприятия</t>
  </si>
  <si>
    <t>дефицит отсутствует</t>
  </si>
  <si>
    <t>Отсутствие курсов повышения квалификации и командировок. А также за счет того. Что взносы на обязательное социальное страхование за декабрь 2019 года будут оплачены в январе 2020 года</t>
  </si>
  <si>
    <t>6. Муниципальная Программа "Развитие муниципальной службы Снежинского городского округа" на 2019 - 2024 гг.</t>
  </si>
  <si>
    <t>Количество проектов на строительство, реконструкцию объектов транспортной инфраструктуры</t>
  </si>
  <si>
    <t>Количество построенных и реконструированных объектов транспортной инфраструктуры</t>
  </si>
  <si>
    <t>Количество молодых граждан в возрасте от 14 до 30 лет, вовлеченных в волонтерскую, добровольческую и поисковую деятельность</t>
  </si>
  <si>
    <t>Показатели</t>
  </si>
  <si>
    <t>план</t>
  </si>
  <si>
    <t>факт</t>
  </si>
  <si>
    <t>отклонение (+,-)</t>
  </si>
  <si>
    <t>Коэфф. достижения индикативного показателя</t>
  </si>
  <si>
    <t>Коэфф. использования средств бюджета</t>
  </si>
  <si>
    <t>Эффективность использования средств бюджета</t>
  </si>
  <si>
    <t>Местный бюджет</t>
  </si>
  <si>
    <t>4=3-2</t>
  </si>
  <si>
    <t>5=3/2</t>
  </si>
  <si>
    <t>9=5/8</t>
  </si>
  <si>
    <t xml:space="preserve">доля расходов по данному направлению в общем объеме полученных средств </t>
  </si>
  <si>
    <t>Итого местный бюджет</t>
  </si>
  <si>
    <t>Причины отклонений</t>
  </si>
  <si>
    <t>Использование средств бюджета,   рублей</t>
  </si>
  <si>
    <t>8=7/6</t>
  </si>
  <si>
    <t>Областной (федеральный) бюджет</t>
  </si>
  <si>
    <t xml:space="preserve">Достижение индикативных показателей за отчетный 
год         </t>
  </si>
  <si>
    <t>1. Муниципальная Программа «Обеспечение доступным и комфортным жильем граждан Российской Федерации» в Снежинском городском округе» на 2015-2020 гг.</t>
  </si>
  <si>
    <t xml:space="preserve">Администрация </t>
  </si>
  <si>
    <t>«Оказание молодым семьям государственной поддержки для улучшения жилищных условий в городе Снежинске»</t>
  </si>
  <si>
    <t>«Развитие системы ипотечного жилищного кредитования»</t>
  </si>
  <si>
    <t>Итого по Программе 1</t>
  </si>
  <si>
    <t>Доля учащихся и студентов, систематически занимающихся физической культурой и спортом, в общей численности учащихся и студентов в Снежинском городском округе</t>
  </si>
  <si>
    <t>Итого по направлению 2</t>
  </si>
  <si>
    <t xml:space="preserve">Итого по  направлению 1 </t>
  </si>
  <si>
    <t xml:space="preserve"> Организация проведения оценки муниципального имущества с целью приватизации, передачи в аренду</t>
  </si>
  <si>
    <t>Организация проведения оценки земельных участков с целью передачи в аренду</t>
  </si>
  <si>
    <t>Организация и проведение технической инвентаризации и паспортизации муниципального имущества</t>
  </si>
  <si>
    <t>Результат пропаганды здорового образв жизни</t>
  </si>
  <si>
    <t>Численность детей школьного возраста, охваченных отдыхом и оздоровлением в ЛДПД</t>
  </si>
  <si>
    <t xml:space="preserve">2-ой этап реализации мероприятия запланирован на 2020 год.    </t>
  </si>
  <si>
    <t>На момент передачи в 2018 году линии наружного освещения по проспекту Щелкина  40% светильников находились в нерабочем состоянии и включение и отключение линии осуществлялось в ночном и вечернем режимах. При ночном режиме работало 50% светильников. После передачи линии в 2019 поэтапно были заменены неработающие светильники и  был включен один режим - вечерний, т.е. все светильники по проспекту Щелкина включались и отключались по общему городскому графику.  Линия работает на полную мощность, увеличение лимита потребления электроэнергии  на 67,3 тыс.кВт*ч.</t>
  </si>
  <si>
    <t>Расход ЭЭ в системах уличного освещения города, тыс. кВтч</t>
  </si>
  <si>
    <t>Количество актуализированных Схем теплоснабжения ЗАТО г. Снежинск на период с 2013 года по 2027 год</t>
  </si>
  <si>
    <t>Количество актуализированных Схем водоснабжения и водоотведения муниципального образования «Город Снежинск» на период с 2014г. по 2030г.</t>
  </si>
  <si>
    <t>По коммунальной инфраструктуре</t>
  </si>
  <si>
    <t>Количество  собсидий  в целях возмещения  затрат в связи с выполнением  работ  по капитальному ремонту  объектов электросетевого хозяйства, сетей тепло-, водоснабжения, водоотведения  города  Снежинска  Челябинской  области</t>
  </si>
  <si>
    <t>Субсидия в целях возмещения затрат в связи с выполнением работ по капитальному  ремонту  объектов электросетевого хозяйства, сетей тепло-, водоснабжения, водоотведения города Снежинска Челябинской  области, находящихся в муниципальной  собственности, для обеспечения бесперебойного электроснабжения, водоотведения, тепло-, водоснабжения населения</t>
  </si>
  <si>
    <t xml:space="preserve">1) 1 975,00 рублей - возмещение  отдельным категориям граждан за оформление прав на земельные участки, предоставленные до введения в действие Земельного кодекса РФ до 25.10.2001 и предназначенные для ведения ЛПХ, дачного хозяйства (федеральный  закон № 93-фз от  30.06.2006).  Возмещение  носит  заявительный характер.  В 2019г. заявления  от граждан  не поступали.                                                                      2) 5 088,00 рублей -  по расходам за перечисление  денежных средств, поступивших  от нанимателей  муниципального имущества  (поставщик услуг АО «Трансэнерго», оплата  осуществляется  помесячно: 5 088,00*1 месяц (декабрь 2019 г.), кредиторская  задолженность,  в заявку на финансирование  включено; не оплачено  по причине  дефицита  денежных средств  в бюджете  Снежинского городского округа  на исполнение  расходных обязательств; по состоянию на 31.12.2019 г. просроченная  кредиторская  задолженность отсутствует;                                               3) 208 095,88 рублей -  по расходам на содержание пустующих помещений муниципальной казны:  в связи с  затянувшейся  процедурой   согласования  муниципальных контрактов  с АО «Трансэнерго» (завышение контрагентом объемов услуг, проекты контрактов  в количестве 6 шт. возвращены)  на сумму 84 187,48 рублей; поздним поступлением документов для расчетов за ноябрь, декабрь 2019 г. на сумму 72 680,65 рублей (первичные  документы контрагента  содержали  недостоверные сведения, возвращены, представлены  после окончания  отчетного периода); не оплата  на сумму 8 701,70 рублей  за переданный в безвозмездное пользование объект (Свердлова,46,65 (ЖенСовет)),   </t>
  </si>
  <si>
    <t>Количество молодых граждан в возрасте от 14 до 30 лет, принявших участие в мероприятиях в сфере образования, интеллектуальной и творческой деятельности, проводимых на территории муниципального образования</t>
  </si>
  <si>
    <t>Обеспечение эксплутационно-технического обслуживания объектов и помещений учреждений культуры, а также содержание указанных объектов и помещений, оборудования и прилегающей территории в надлежащем состоянии (тыс.кв м)</t>
  </si>
  <si>
    <t>3. 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2017 - 2020 гг.</t>
  </si>
  <si>
    <t>Содержание ребенка в семье опекуна и приемной семье, оплата труда приемному родителю</t>
  </si>
  <si>
    <t>Выплата ежемесячного пособия на ребенка гражданам, имеющим детей</t>
  </si>
  <si>
    <t>Финансовое обеспечение получения общего, дополнительного образования и услуг по присмотру и уходу в общеобразовательных организациях</t>
  </si>
  <si>
    <t>Финансовое обеспечение получения  дополнительного образования во Дворце творчества</t>
  </si>
  <si>
    <t>Финансовое обеспечение профессионального обучения по программам профессиональной подготовки по профессиям рабочих и должностям служащих</t>
  </si>
  <si>
    <t xml:space="preserve">Выплата стипендий </t>
  </si>
  <si>
    <t>Обеспечение питанием отдельных (льготных) категорий обучающихся  в муниципальных общеобразовательных учреждениях (МБОУ № 117, 121, 125, 126, 127, 135)</t>
  </si>
  <si>
    <t>Круглогодичное содержание загородного лагеря</t>
  </si>
  <si>
    <t>Проведение психолого-медико-педагогического обследования и комплекса работ, связанных с сопровождением обучающихся, испытывающих трудности в освоении основных общеобразовательных программ</t>
  </si>
  <si>
    <t>Проведение различных мероприятий муниципального уровня, обеспечение участия обучающихся и педагогических работников в областных, региональных,  российских и международных мероприятиях</t>
  </si>
  <si>
    <t>Организация и проведение конкурсов профессионального мастерства; участие работников в областных и российских конкурсах профессионального мастерства</t>
  </si>
  <si>
    <t>Оказание единовременной материальной (адресной, социальной) помощи больным сахарным диабетом для приобретения средств самоконтроля</t>
  </si>
  <si>
    <t>Доля муниципальных служащих, прошедших повышение квалификации и переподготовку, в процентах от общего количества муниципальных служащих (142 чел.)</t>
  </si>
  <si>
    <t>13. Муниципальная программа "Управление муниципальным имуществом и земельными ресурсами Снежинского городского округа" на 2019-2024 гг.</t>
  </si>
  <si>
    <t>14. Муниципальная Программа  "Содержание городского хозяйства в Снежинском городском округе" на 2019 - 2024 гг.</t>
  </si>
  <si>
    <t>6. Муниципальная Программа "Содержание городского хозяйства в Снежинском городском округе" на 2019 - 2024 гг.</t>
  </si>
  <si>
    <t>7. Муниципальная Программа "Управление муниципальным имуществом и земельными ресурсами Снежинского городского округа" на 2019-2024 гг.</t>
  </si>
  <si>
    <t xml:space="preserve">Организация деятельности трудовых объединений, количество детей, участвующих в трудовых объединениях  </t>
  </si>
  <si>
    <t xml:space="preserve"> Организация трудоустройства несовершеннолетних граждан в возрасте от 14 до 18 лет трудоустроенных на временные рабочие места,  количество несовершеннолетних граждан в возрасте от 14 до 18 лет, трудоустроенных на  временные рабочие места в т.ч.: </t>
  </si>
  <si>
    <t>Охват детей с 3 до 7 лет дошкольным образованием</t>
  </si>
  <si>
    <t>Количество молодых специалистов, работающих в дошкольных образовательных организациях, приступивших к работе в учебном году</t>
  </si>
  <si>
    <t>4.1 Обеспечение деятельности МКУ "Управление физической культуры и спорта администрации Снежинского городского округа"</t>
  </si>
  <si>
    <t>Количество подведомственных Управлению учреждений</t>
  </si>
  <si>
    <t>Количество подведомственных Управлению учреждений, в которых проведена оценка их деятельности</t>
  </si>
  <si>
    <t xml:space="preserve">Количество компьютеров работников Управления, на которые установлено обновленное программное обеспечение </t>
  </si>
  <si>
    <t>Социальная поддержка семей с несовершеннолетними, находящимися в экстренной ситуации или подвергшихся насилию или жестокому обращению</t>
  </si>
  <si>
    <t>Средства не были профинансированы в полном объеме (письмо Главы СГО от 25.12.2019 № Ф-01-06/2323)</t>
  </si>
  <si>
    <t xml:space="preserve">Предоставление льгот за присмотр и уход в дошкольных образовательных организациях в соответствии с нормативно-правовыми актами
</t>
  </si>
  <si>
    <t>Выплата единовременной материальной помощи молодым специалистам дошкольных образовательных организаций</t>
  </si>
  <si>
    <t>Установка и дооборудование систем видеонаблюдения</t>
  </si>
  <si>
    <t xml:space="preserve">Выплата единовременной материальной помощи молодым специалистам МОУ и Дворца творчества </t>
  </si>
  <si>
    <t>Оборудование пунктов проведения экзаменов  государственной итоговой аттестации по образовательным программам среднего общего образования</t>
  </si>
  <si>
    <t>Проведение капитальных ремонтов в муниципальных общеобразовательных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</si>
  <si>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учреждениях</t>
  </si>
  <si>
    <t>Доля обучающихся и спортсменов, охваченных тренировочными сборами в каникулярный период времени</t>
  </si>
  <si>
    <t>Площадь эксплуатируемого недвижимого имущества, всего, в т.ч. зданий и прилегающей территории</t>
  </si>
  <si>
    <t>Доля спортсменов-разрядников,  имеющих разряды и звания (от 1 разряда до спортивного звания "Заслуженный мастер спорта") в общем количестве лиц, занимающихся в системе СШОР</t>
  </si>
  <si>
    <t>Подпрограмма 3 "Развитие спортивной инфраструктуры"</t>
  </si>
  <si>
    <t>3.2 Капитальный ремонт здания спортивного зала "Ангар"</t>
  </si>
  <si>
    <t>Единовременная пропускная способность спортивных сооружений от нормативного значения</t>
  </si>
  <si>
    <t>Единовременная пропускная способность объектов спорта, введенных в эксплуатацию (новых, после капитального ремонта и реконструкции)</t>
  </si>
  <si>
    <t>Подпрограмма 4 "Реализация государственной политики в области физической культуры и спорта</t>
  </si>
  <si>
    <t>Оценка эффективности реализации муниципальных программ в 2019 году</t>
  </si>
  <si>
    <t>Итого областной (федеральный) бюджет</t>
  </si>
  <si>
    <t>ВСЕГО</t>
  </si>
  <si>
    <t>Количество досуговых мероприятий для детей, подростков и молодежи</t>
  </si>
  <si>
    <t>Итого по направлению 2.1.</t>
  </si>
  <si>
    <t>Всего по Программе 4</t>
  </si>
  <si>
    <t xml:space="preserve">Недофинансирование, в связи с дефицитом бюджета </t>
  </si>
  <si>
    <t>Всего по Программе 13</t>
  </si>
  <si>
    <t>доля расходов в общем объеме полученных средств</t>
  </si>
  <si>
    <t xml:space="preserve">Обеспечение питанием учащихся (воспитанников) МБОУ СКОШ № 122, 128                </t>
  </si>
  <si>
    <t>Организация отдыха детей в каникулярное время</t>
  </si>
  <si>
    <t>Обеспечение обслуживания и сопровождения программного комплекса для ведения реестра муниципального имущества города Снежинска и формирования учета в программе «Барс – Аренда». Обновление (продление) электронной подписи для осуществления обмена электронными документами  с Управлением Росреестра по Челябинской области</t>
  </si>
  <si>
    <t>Реализация функций возложенных на КУИ города Снежинска в области иных имущественных отношений</t>
  </si>
  <si>
    <t>Приобретение жилья для лиц из числа детей-сирот и детей, оставшихся без попечения родителей</t>
  </si>
  <si>
    <t>Подпрограмма 1 "Привлечение населения города Снежинска к систематическим занятиям физической культурой и спортом"</t>
  </si>
  <si>
    <t>1.1.Организация и проведение физкультурных и массовых спортивных мероприятий, включенных в единый календарный план физкультурных и спортивных мероприятий</t>
  </si>
  <si>
    <t>1.2 Организация и проведение физкультурных и спортивных мероприятий в рамках Всероссийского физкультурно-спортивного комплеса "Готов к труду и обороне" (ГТО)</t>
  </si>
  <si>
    <t>1.3 Содержание спортивных объектов и материально-техническое обеспечение</t>
  </si>
  <si>
    <t>1.4 Пропаганда физической культуры, массового спорта и здорового образа жизни</t>
  </si>
  <si>
    <t>Доля лиц с ограниченными возможностями здоровья, систематически занимающихся физической культурой и спортом, в общей численности данной категории населения</t>
  </si>
  <si>
    <t>Охват детей и подростков (6-15лет) массовым спортом в учреждениях спортивной направленности</t>
  </si>
  <si>
    <t>Направление 1. Меры социальной поддержки граждан</t>
  </si>
  <si>
    <t>Итого по направлению 2.2</t>
  </si>
  <si>
    <t>Количество педагогов, принявших участие в очных конкурсах профессионального мастерства</t>
  </si>
  <si>
    <t>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</t>
  </si>
  <si>
    <t xml:space="preserve">доля расходов по Программе в общем объеме средств </t>
  </si>
  <si>
    <t xml:space="preserve">Количество обучающихся в общеобразовательных учреждениях, находящихся  в трудной жизненной ситуации </t>
  </si>
  <si>
    <t>Проведена ревизия протяженности автомобильных дорог общего пользования</t>
  </si>
  <si>
    <t>Доля детей в возрасте от 5 до 18 лет включительно,обучающихся в ДШИ по дополнительным общеобразовательным программам в области искусств (предпрофессиональным и общеразвивающим) от общего количества детей данного возраста</t>
  </si>
  <si>
    <t>Количество детей из малообеспеченных, неблагополучных семей, а также семей, оказавшихся в трудной жизненной ситуации, получающих дошкольное образование</t>
  </si>
  <si>
    <t>Проведена дополнительная комиссия по рассмотрению заявлений</t>
  </si>
  <si>
    <t>Количество ДОО, внедряющих стандарты проекта «Школа Росатома»</t>
  </si>
  <si>
    <t>Доля дошкольных учреждений в полной мере обеспечивающих антитеррористическую защиту, согласно  Постановлению Правительства РФ от 2 августа 2019 г.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и формы паспорта безопасности этих объектов (территорий)» в общей численности дошкольных учреждений, подведомственных Управлению образования</t>
  </si>
  <si>
    <t>Количество детей, охваченных дополнительным образованием во Дворце творчества</t>
  </si>
  <si>
    <t>Увеличение спроса, организация обучения по договорам социального партнерства</t>
  </si>
  <si>
    <t>Доля учащихся общеобразовательных учреждений, обучающихся в первую смену, в общей численности учащихся</t>
  </si>
  <si>
    <t>Организация проведения оценки муниципального имущества с целью принятия к учету</t>
  </si>
  <si>
    <t>Организация проведения кадастровых работ по формированию земельных участков и проведения работ по писанию местоположения  территориальных зон</t>
  </si>
  <si>
    <t>Подпрограмма 1 «Привлечение населения города Снежинска к систематическим занятиям физической культурой и спортом"</t>
  </si>
  <si>
    <t>Подпрограмма 2 "Подготовка спортивного резерва и успешное выступление Снежинских спортсменов на соревнованиях различного уровня"</t>
  </si>
  <si>
    <t>Подпрограма 3 "Развитие спортивной инфраструктуры"</t>
  </si>
  <si>
    <t>Доля общеобразовательных учреждений и учреждений дополнительного образования, оснащенных системой видеонаблюдения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</si>
  <si>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Доля обучающихся, имеющих I или II группу здоровья, в общей численности обучающихся общеобразовательных учреждений</t>
  </si>
  <si>
    <t>Доля детей, прошедших обследование и получивших консультации в городской психолого-медико-педагогической комиссии (ГПМПК) из числа нуждающихся</t>
  </si>
  <si>
    <t>Количество родителей (законных представителей) детей-инвалидов, получающих компенсацию за самостоятельное обучение детей на дому</t>
  </si>
  <si>
    <t>Доля лиц пенсионного возраста, систематически занимающихся физической культурой и спортом, в общей численности данной категории населения</t>
  </si>
  <si>
    <t>Количество спортивных клубов</t>
  </si>
  <si>
    <t>Количество проведенных физкультурно-спортивных мероприятий и соревнований по видам спорта</t>
  </si>
  <si>
    <t>Количество проведенных массовых физкультурных и спортивных мероприятий</t>
  </si>
  <si>
    <t>Количество участников физкультурно-оздоровительных и спортивно-массовых мероприятий</t>
  </si>
  <si>
    <t>Доля граждан, выполняющих нормы ВФСК "ГТО", в общей численности населения, принявшего участие в выполнении нормативов ГТО</t>
  </si>
  <si>
    <t>Доля граждан, занимающихся физической культурой и спортом по месту работы, в общей численности населения, занятого в экономике Снежинского городского округа</t>
  </si>
  <si>
    <t>Удельный вес занимающихся физической культурой и спортом на платной основе</t>
  </si>
  <si>
    <t>Загруженность спортивных сооружений подведомственных Управлению учреждений</t>
  </si>
  <si>
    <t>Загруженность спортивных сооружений подведомственных Управлению учреждений от нормативного значения</t>
  </si>
  <si>
    <t>Количество объектов, внесенных во Всероссийский реестр объектов спорта</t>
  </si>
  <si>
    <t>Количество размещенных анонсов и публикаций в местах массового пребывания людей и в средствах массовой информации</t>
  </si>
  <si>
    <t>Доля спортивных сооружений, обеспеченных системой видеонаблюдения</t>
  </si>
  <si>
    <t>Подпрограмма 2 "Подготовка спортивного резерва и успешное выступление Снежинских спортсменов на соревнованиях различного уровня "</t>
  </si>
  <si>
    <t>2.1 Реализация дополнительных общеобразовательных общеразвивающих программ</t>
  </si>
  <si>
    <t>2.2 Реализация дополнительных предпрофессиональных программ в области физической культуры и спорта</t>
  </si>
  <si>
    <t>2.3 Реализация программ спортивной подготовки</t>
  </si>
  <si>
    <t>2.4 Организация и проведение спортивно-оздоровительной работы по развитию физической культуры и спорта</t>
  </si>
  <si>
    <t>Итого по Программе 2</t>
  </si>
  <si>
    <t xml:space="preserve"> Подпрограмма "Подготовка земельных участков для освоения в целях жилищного строительства"</t>
  </si>
  <si>
    <t>Магистральные сети электроснабжения жилого поселка №2, расположенного в  г.Снежинске Челябинской области</t>
  </si>
  <si>
    <t>Магистральные сети электроснабжения жилого поселка №2, расположенного в  г.Снежинске Челябинской области. Обследования  объекта  по предписанию Госстройнадзора</t>
  </si>
  <si>
    <t>Итого по подпрограмме</t>
  </si>
  <si>
    <t>Всего по Программе 1</t>
  </si>
  <si>
    <t xml:space="preserve">Подпрограммы </t>
  </si>
  <si>
    <t>Итого по подпрограммам</t>
  </si>
  <si>
    <t xml:space="preserve">Итого по подпрограмме </t>
  </si>
  <si>
    <t>Подпрограммы</t>
  </si>
  <si>
    <t>Обеспечение деятельности призывной комиссии и ее участия в проведении социально - патриотической акции «День призывника»</t>
  </si>
  <si>
    <t>Управление образования</t>
  </si>
  <si>
    <t>УФиС</t>
  </si>
  <si>
    <t>Доля дошкольных образовательных организаций, принятых к новому учебному году</t>
  </si>
  <si>
    <t>Доля обучающихся, охваченных программами профессиональной подготовки по профессиям рабочих и должностям служащих, в общей численности учащихся 10-11 классов</t>
  </si>
  <si>
    <t>Количество обучающихся, получивших стипендии</t>
  </si>
  <si>
    <t>Количество кадетских классов</t>
  </si>
  <si>
    <t>Доля пунктов проведения государственной итоговой аттестации в форме единого государственного экзамена, оборудованных системой видеонаблюдения в режиме онлайн</t>
  </si>
  <si>
    <t xml:space="preserve">Без учета кредиторской задолженности за декабрь 2018 года  </t>
  </si>
  <si>
    <t>Итого по направлению 3</t>
  </si>
  <si>
    <t>&gt;=95</t>
  </si>
  <si>
    <t xml:space="preserve">Фактический объем потребления и удельные расходы энергетических ресурсов меньше, чем соответствующие плановые значения, в связи со 100%-ной установкой приборов учета энергетических ресурсов в бюджетных организациях и проводимой работой среди сотрудников  бюджетных организаций по экономии энергетических ресурсов. </t>
  </si>
  <si>
    <t>объект завершен, 1 очередь выполнена в 2017 г., 2,3 очередь в 2019 г.</t>
  </si>
  <si>
    <t xml:space="preserve"> Подпрограмма 1 "Предоставление мер социальной поддержки льготным категориям граждан (государственные полномочия)"</t>
  </si>
  <si>
    <t>Направление 1. Исполнение плана по поступлениям от использования муниципального имущества и земельных участков, реализации  муниципального имущества</t>
  </si>
  <si>
    <t xml:space="preserve">Количество мероприятий по пропаганде знаний в области гражданской обороны, предупреждения и ликвидации ЧС. (Показатель №2):                                                                            -выступление перед представителями СМИ;                                                                  </t>
  </si>
  <si>
    <r>
      <t xml:space="preserve">Количество разработанных </t>
    </r>
    <r>
      <rPr>
        <sz val="10"/>
        <color indexed="63"/>
        <rFont val="Times New Roman"/>
        <family val="1"/>
      </rPr>
      <t>планов гражданской обороны и защиты населения и действий по предупреждению и ликвидации чрезвычайных ситуаций природного и техногенного характера. (Показатель №1)</t>
    </r>
  </si>
  <si>
    <r>
      <t xml:space="preserve"> - поисково-спасательной службы г. Снежинска</t>
    </r>
    <r>
      <rPr>
        <sz val="10"/>
        <color indexed="63"/>
        <rFont val="Times New Roman"/>
        <family val="1"/>
      </rPr>
      <t>. (Показатель №11)</t>
    </r>
  </si>
  <si>
    <r>
      <t>Количество действующих свидетельств об аттестации аварийно-спасательного формирования</t>
    </r>
    <r>
      <rPr>
        <sz val="10"/>
        <color indexed="63"/>
        <rFont val="Times New Roman"/>
        <family val="1"/>
      </rPr>
      <t>.(Показатель №12)</t>
    </r>
  </si>
  <si>
    <r>
      <t>Субсидия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на возмещение затрат, произведенных  за счет целевых взносов на инженерное обеспечение  территорий садоводческих, огороднических и дачных некоммерческих объединений граждан, расположенных в Снежинском городском округе</t>
    </r>
  </si>
  <si>
    <t>95</t>
  </si>
  <si>
    <t>Доля финансовых средств, освоенных в ходе реализации Программы</t>
  </si>
  <si>
    <t xml:space="preserve">доля расходов  в общем объеме полученных средств </t>
  </si>
  <si>
    <t>Оказание помощи опекаемым детям, не получающим государственное обеспечение, детям из семей, находящихся в социально опасном положении, из малообеспеченных семей, находящихся в трудной жизненной ситуации</t>
  </si>
  <si>
    <t>Социальная поддержка детей-сирот и детей, оставшихся без попечения родителей, проживающих в замещающих семьях, в виде ежемесячных денежных выплат</t>
  </si>
  <si>
    <t>2.5 Содержание имущества, находящегося в муниципальной собственности</t>
  </si>
  <si>
    <t>2.6 Обеспечение выступления команды "Сунгуль" в чемпионате России по гандболу</t>
  </si>
  <si>
    <t>Доля граждан в возрасте 6-15 лет, занимающихся в спортивных учреждениях, в общей численности детей и молодежи в возрасте 6-15 лет</t>
  </si>
  <si>
    <t>Количество молодых специалистов, работающих в общеобразовательных организациях и Дворце творчества, приступивших к работе в учебном году</t>
  </si>
  <si>
    <t>Выделены дополнительные средства из областного бюджета</t>
  </si>
  <si>
    <t>Доля учащихся, обучающихся в современных условиях, в общей численности обучающихся</t>
  </si>
  <si>
    <t>Доля пунктов проведения государственной итоговой аттестации в форме единого государственного экзамена, в котором применена технология печати и сканирования контрольно-измерительных материалов</t>
  </si>
  <si>
    <t>Доля образовательных организаций, принятых к новому учебному году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</si>
  <si>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 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от 07 ноября 2018 г. № 190/1512 «Об 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</si>
  <si>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Доля обучающихся, обеспеченных питанием, в общем количестве обучающихся из малообеспеченных семей и детей с нарушением здоровья</t>
  </si>
  <si>
    <t>Доля обучающихся, обеспеченных питанием, в общем количестве обучающихся</t>
  </si>
  <si>
    <t xml:space="preserve">Результат профилактической работы о важности горячего питания. </t>
  </si>
  <si>
    <t>Доля отремонтированных зданий муниципальных общеобразовательных организаций в общем количестве зданий муниципальных общеобразовательных организаций, требующих проведения ремонтов</t>
  </si>
  <si>
    <t>Количество новых мест в ОО</t>
  </si>
  <si>
    <t>Доля общеобразовательных учреждений и учреждений дополнительного образования в полной мере обеспечивающих антитеррористическую защиту, согласно  Постановлению Правительства РФ от 2 августа 2019 г.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и формы паспорта безопасности этих объектов (территорий)»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</si>
  <si>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Количество ОО, внедряющих стандарты проекта «Школа Росатома»</t>
  </si>
  <si>
    <t>Охват детей дополнительным образованием</t>
  </si>
  <si>
    <t>Увеличение спроса, организация обученяи по договорам социального партнерства</t>
  </si>
  <si>
    <t>Доля выполненных ремонтов в зданиях муниципальных организациях дополнительного образования в общем количестве зданий муниципальных организациях дополнительного образования, запланированных к проведению ремонта в текущем году</t>
  </si>
  <si>
    <t>Доля отремонтированных зданий муниципальных организаций дополнительного образования в общем количестве зданий муниципальных организаций дополнительного образования, требующих проведения ремонтов</t>
  </si>
  <si>
    <t>Доля использованной муниципальным образованием субсидии местному бюджету в общем размере субсидии местному бюджету, перечисленной муниципальному образованию</t>
  </si>
  <si>
    <t>Организация работы по направлению детей в ВДЦ и МДЦ, организация смены "Юниоры AtomSkills"</t>
  </si>
  <si>
    <t>Доля корпусов в МАУ ДОЦ «Орлёнок», оснащенных системой видеонаблюдения</t>
  </si>
  <si>
    <t>Доля детей, охваченных отдыхом в каникулярное время в организациях отдыха и оздоровления детей, в общем числе детей Челябинской области, охваченных отдыхом в организациях отдыха детей и их оздоровления всех типов</t>
  </si>
  <si>
    <t>Доля несовершеннолетних, охваченных профильными сменами, в общем числе детей, охваченных отдыхом в организациях отдыха детей и их оздоровления всех типов</t>
  </si>
  <si>
    <t>Организация смены "Юниоры AtomSkills"</t>
  </si>
  <si>
    <t>Создание и содержание мест (площадок) накопления ТКО путем оснащения их контейнерами</t>
  </si>
  <si>
    <t>Количество мест (контейнерных площадок), оснащенных муниципальными контейнерами</t>
  </si>
  <si>
    <t>Количество приобретенных контейнеров для накопления твердых коммунальных отходов</t>
  </si>
  <si>
    <t>Суммарный объем приобретенных контейнеров для накопления твердых коммунальных отходов</t>
  </si>
  <si>
    <t>Итого по Программе 11</t>
  </si>
  <si>
    <t>11. Муниципальная Программа "Создание и содержание мест (контейнерных  площадок) накопления твердых коммунальных отходов на территории Снежинского городского округа" на 2019-2023 годы</t>
  </si>
  <si>
    <t>2. Муниципальная Программа "Развитие культуры и  реализация молодежной политики в Снежинском городском округе" на 2018 - 2024 гг.</t>
  </si>
  <si>
    <t>1."Развитие системы художественного образования"</t>
  </si>
  <si>
    <t xml:space="preserve">Доля детей в возрасте от 5 до 18 лет включительно, обучающихся в ДМШ по дополнительным общеобразовательным программам в области  искусств (препрофессиональным и общеобразовательным), от общего количества детей данного возраста </t>
  </si>
  <si>
    <t>Итого по направлению 1</t>
  </si>
  <si>
    <t>2"Реализация молодежной политики"</t>
  </si>
  <si>
    <t>2.1 Создание условий для более полного вовлечения молодежи в социально-экономическую, политическую и культурную жизнь общества</t>
  </si>
  <si>
    <t>Дополнительные меры социальной поддержки  в виде компенсации в размере 100% расходов занимаемой площади жилого помещения, коммунальных услуг, услуг связи приемным семьям, проживающим в квартирах муниципальной собственности</t>
  </si>
  <si>
    <t>расходы проиведены исходя из фактической потребности</t>
  </si>
  <si>
    <t>заявительный характер выплат, отсутствие обращений</t>
  </si>
  <si>
    <t xml:space="preserve">Социальная поддержка инвалидов (на питание недееспособных инвалидов,  на зубопротезирование инвалидам) </t>
  </si>
  <si>
    <t>перераспределение средств на материальную помощь</t>
  </si>
  <si>
    <t>Расходы по проведению мероприятий, направленных на поддержку граждан, находящихся в трудной жизненной ситуации (лиц, освободившихся из мест лишения свободы, лиц без определённого места жительства, лиц с алкогольной и наркотической зависимостью)</t>
  </si>
  <si>
    <t>Пенсии за выслугу лет муниципальным служащим, лицам, осуществлявшим полномочия депутата на профессиональной постоянной основе, полномочия выборного должностного лица местного самоуправления</t>
  </si>
  <si>
    <t>Выплата единовременного поощрения муниципальным служащим при выходе на пенсию за выслугу лет (согласно Порядку)</t>
  </si>
  <si>
    <t xml:space="preserve">Финансовое обеспечение  и создание условий для стабильного предоставления дополнительных мер социальной поддержки отдельных категорий граждан </t>
  </si>
  <si>
    <t>Предоставление субсидий на иные цели бюджетному учреждению, в соответствии с утвержденным Порядком</t>
  </si>
  <si>
    <t xml:space="preserve">Предоставление финансовой  поддержки СОНКО в форме субсидий </t>
  </si>
  <si>
    <t>Организация и проведение городских мероприятий</t>
  </si>
  <si>
    <t>Организационно-массовые, спортивные,  культурные мероприятия для инвалидов</t>
  </si>
  <si>
    <t>Итого по Задаче 2</t>
  </si>
  <si>
    <t>Удельный вес семей находящихся в социально-опасном положении, снятых с учета в связи с улучшением ситуации в семье от общего количества семей, состоящих на учете как семьи, находящиеся в социально опасном положении</t>
  </si>
  <si>
    <t>Удельный вес граждан пожилого возраста и инвалидов, получивших адресную социальную помощь, дополнительные меры соц.поддержки и услуги от числа указанных категорий граждан состоящих на учете в Управлении</t>
  </si>
  <si>
    <t>Доля финансовых средств, освоенных в ходе реализации Программы. Показатель рассчитывается по формуле:   D2= (Ф освоено/Ф выделено)*100%, где Ф освоено - объем  освоенных средств на предоставление мер социальной поддержки льготным категориям граждан; Ф выделено - объем средств, выделенных на предоставление мер социальной поддержки льготным категориям граждан</t>
  </si>
  <si>
    <t>Доля образовательных учреждений, внедривших информационную систему, содержащую данные о контингенте обучающихся, в общем количестве образовательных учреждений</t>
  </si>
  <si>
    <t>Компенсация затрат родителям детей-инвалидов, обучающих детей-инвалидов на дому самостоятельно</t>
  </si>
  <si>
    <t>Оказание услуг по присмотру и уходу за детьми в ДОУ, содержание зданий муниципальных дошкольных образовательных организаций</t>
  </si>
  <si>
    <t>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организации, через предоставление компенсации части родительской платы</t>
  </si>
  <si>
    <t>Приобретение технологического, компьютерного, медицинского и другого оборудования для дошкольных образовательных организаций</t>
  </si>
  <si>
    <t>Проведение текущих ремонтов и противопожарных мероприятий</t>
  </si>
  <si>
    <t>Создание современной образовательной среды в соответствии с сетевыми стандартами проекта "Школа Росатома"</t>
  </si>
  <si>
    <t xml:space="preserve">Количество дворового оборудования, находящегося на содержании, в т.ч.: игровые комплексы, качели, карусели, песочницы, спортплощадки, турники, горки, бельевые, хоккейные корты и т.д </t>
  </si>
  <si>
    <t>Количество фонтанных установок на обслуживании</t>
  </si>
  <si>
    <t>досрочное погашение кредитов заемщиками</t>
  </si>
  <si>
    <t xml:space="preserve">Организация в пределах своих полномочий повышения качества управления муниципальными финансами </t>
  </si>
  <si>
    <t>Отношение недопоступления местных налогов от представленияместным налоговым законодательством льгот к общему объему начисленных местных налогов (%)</t>
  </si>
  <si>
    <t>&lt; 1</t>
  </si>
  <si>
    <t>Исполнение годового плана по налоговым и неналоговым доходам бюджета Снежинского городского округа (%)</t>
  </si>
  <si>
    <t>Количество установок "Вечный огонь" на обслуживании</t>
  </si>
  <si>
    <t>Количество устанавливаемых элементов оформления города</t>
  </si>
  <si>
    <t>Благоустройство территорий</t>
  </si>
  <si>
    <t>Количество мемориальных комплексов на обслуживании</t>
  </si>
  <si>
    <t>Площадь мест захоронения</t>
  </si>
  <si>
    <t>Количество тел умерших, подлежащих транспортировке с места смерти</t>
  </si>
  <si>
    <t>Количество гражданских панихид</t>
  </si>
  <si>
    <t>Площадь муниципального жилого фонда, находящегося на содержании</t>
  </si>
  <si>
    <t>Количество аварийно-опасных деревьев, подлежащих вырубке</t>
  </si>
  <si>
    <t>Площадь отводимых лесосек</t>
  </si>
  <si>
    <t>Площадь лесов, подлежащих уходу, лесовосстановлению и лесоразведению</t>
  </si>
  <si>
    <t>Протяженность противопожарных минерализованных полос</t>
  </si>
  <si>
    <t>Количество сохраненных рабочих мест на предприятиях малого и среднего предпринимательства, получивших субсидии</t>
  </si>
  <si>
    <t>Капитальный ремонт тепломагистрали 2Dy800 от П-1 до НПС (зд.712)</t>
  </si>
  <si>
    <t>объект выполнен. Работы, предусмотренные контрактом, выполнены в полном объеме.</t>
  </si>
  <si>
    <t>Сети газоснабжения (1 этап реализации мероприятий по обеспечению инженерными сетями газоснабжения перспективной застройки микрорайонов 22, 23) г.Снежинска</t>
  </si>
  <si>
    <t>Работы не выполнены., включены в перечень работ на 2020 год</t>
  </si>
  <si>
    <t>Строительство 1-го и 2-го напорных водоводных коллекторов в жилом районе «Посёлок Сокол» (проектно-изыскательские работы)</t>
  </si>
  <si>
    <t>Строительство разгрузочного водовода диаметром 600 мм и длиной 2 900 м от колодца 49а насосной станции 2-го подъема до проспекта им. К.И. Щелкина (проектно-изыскательские работы)</t>
  </si>
  <si>
    <t>Соблюдение установленных сроков утверждениясводной бюджетной росписи бюджета Снежинского городского округа на очередной финансовый год (соблюдение)</t>
  </si>
  <si>
    <t>Превышение кассовых выплат над лимитами бюджетных обязательств</t>
  </si>
  <si>
    <t>нет</t>
  </si>
  <si>
    <t>2.1.1 Социальная активность</t>
  </si>
  <si>
    <t>Доля молодых людей от общего числа молодых людей в возрасте от 14 до 30 лет, принявших участие в мероприятиях, направленных на развитие правовой грамотности и повышение электоральной активности</t>
  </si>
  <si>
    <t>Количество  молодых людей в возрасте от 14 до 30 лет, охавченных мероприятиями,  проводимыми на территории муниципального образования, регистрация которых осуществляется через АИС "Молодежь России"</t>
  </si>
  <si>
    <t>Количество молодежных форумов, проводимых на территории Снежинского городского округа</t>
  </si>
  <si>
    <t>Доля обучающихся в общеобразовательных учреждениях, принимающих участие в муниципальных мероприятиях, муниципальном этапе Всероссийской и областной олимпиады школьников, от общего числа обучающихся</t>
  </si>
  <si>
    <t>Доля обучающихся в общеобразовательных учреждениях, принимающих участие в мероприятиях областного, всероссийского, международного уровней, от общего числа обучающихся</t>
  </si>
  <si>
    <t>5. Муниципальная Программа "Социальная поддержка жителей Снежинского городского округа" на 2019- 2024 гг.</t>
  </si>
  <si>
    <t>Задача 1 Подпрограммы 1"Улучшение качества жизни детей и семей с детьми"</t>
  </si>
  <si>
    <t xml:space="preserve">Выплата денежных средств на реализацию права бесплатного проезда и на содержание детей, находящихся под опекой </t>
  </si>
  <si>
    <t xml:space="preserve">Выплата областного единовременного пособия при рождении ребенка </t>
  </si>
  <si>
    <t>заявительный характер выплат</t>
  </si>
  <si>
    <t>Ежемесяная денежная выплата, назначаемая в случае рождения третьего ребенка  и (или) последующих детей до достижения ребенком возраста трех лет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</si>
  <si>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</si>
  <si>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 xml:space="preserve">Дополнительные меры социальной поддержки многодетных семей </t>
  </si>
  <si>
    <t>Задача 2 Подпрограммы 1 "Создание условий для личностного роста детей сирот и детей, оставшихся без попечения родителей, улучшение качества их жизни"</t>
  </si>
  <si>
    <t xml:space="preserve">Обеспечение деятельности МКУСО «Центр помощи детям" </t>
  </si>
  <si>
    <t>Задача 3 Подпрограммы 1"Повышение реальных доходов граждан получающих меры социальной поддержки"</t>
  </si>
  <si>
    <t xml:space="preserve">Ежемесячные денежные выплаты </t>
  </si>
  <si>
    <t xml:space="preserve">Оплата жилищно-коммунальных услуг отдельным категориям граждан </t>
  </si>
  <si>
    <t xml:space="preserve">Выплата социального пособия на погребение </t>
  </si>
  <si>
    <t xml:space="preserve">Меры социальной поддержки гражданам, подвергшимся воздействию радиации </t>
  </si>
  <si>
    <r>
      <t xml:space="preserve">Компенсация отдельным категориям граждан оплаты взноса на капитальный ремонт общего имущества в многоквартирном доме </t>
    </r>
  </si>
  <si>
    <t xml:space="preserve">Предоставление гражданам субсидий на оплату ЖКУ </t>
  </si>
  <si>
    <t>Итого по Задаче 3</t>
  </si>
  <si>
    <t>Задача 4 Подпрограммы 1 "Обеспечение доступности социальных услуг для граждан пожилого возраста"</t>
  </si>
  <si>
    <t xml:space="preserve">Реализация переданных государственных полномочий по социальному обслуживанию граждан          </t>
  </si>
  <si>
    <t>Итого по Задаче 4</t>
  </si>
  <si>
    <t xml:space="preserve">Финансовое обеспечение и создание условий для стабильного предоставления мер социальной поддержки льготным категориям граждан (государственные полномочия) </t>
  </si>
  <si>
    <t>Итого по Задаче 5</t>
  </si>
  <si>
    <t>Удельный вес граждан, имеющих детей, которым назначены меры соц.поддержки, в общем числе обратившихся по состоянию на 31.12.2019,2020,2021,2022,2023,2024   (Uмеры). Показатель рассчитывается по формуле  Uмеры = (Ч назн./Ч меры)* 100 %</t>
  </si>
  <si>
    <t>Доля граждан (имеющих детей), обеспеченных мерами социальной поддержки, от общего числа обратившихся за начислением мер социальной поддержки</t>
  </si>
  <si>
    <t xml:space="preserve">Доля  выпускников  МКУСО "Центр помощи детям" устроенных на дальнейшее обучение или на работу  от общего числа выпускников (Д вып.) . </t>
  </si>
  <si>
    <r>
      <t>Доля объема выплаченных сумм на меры соц.поддержки от объема начисленных сумм на меры соц.поддержки по состоянию на 31.12.2019,2020,2021,2022,2023,2024 годов (D</t>
    </r>
    <r>
      <rPr>
        <vertAlign val="subscript"/>
        <sz val="10"/>
        <color indexed="8"/>
        <rFont val="Times New Roman"/>
        <family val="1"/>
      </rPr>
      <t>меры</t>
    </r>
    <r>
      <rPr>
        <sz val="10"/>
        <color indexed="8"/>
        <rFont val="Times New Roman"/>
        <family val="1"/>
      </rPr>
      <t>)  Показатель рассчитывается по формуле Dмеры =(Vвыпл. /V начисл.) *100%, где Vвыпл – объем выплаченных сумм на меры соц.поддержки; V начисл. – объем начисленных сумма на меры соцподдержки)</t>
    </r>
  </si>
  <si>
    <t xml:space="preserve">Удельный вес граждан, получивших соц.услуги в учреждениях соц. обслуживания, от общего числа граждан, обратившихся за получением соц.услуг в учреждения соц.обслуживания  </t>
  </si>
  <si>
    <t xml:space="preserve">Отношение средней заработной платы отдельных категорий работников подведомственных учреждений  (социальных работников, педагогического и медицинского персонала) до уровня среднемесячного дохода от трудовой деятельности по Челябинской области О соц  </t>
  </si>
  <si>
    <t xml:space="preserve">Доля жалоб на действия (бездействие) должностных лиц в процессе предоставления государственных и муниципальных услуг, признанных в установленном порядке обоснованными   Показатель рассчитывается по формуле: D1= (Ч жалоб обоснованных/Ч общее число жалоб)* </t>
  </si>
  <si>
    <t>не более 0,1</t>
  </si>
  <si>
    <t>Количество игр, проведенных командой "Сунгуль" в Чемпионате Российской Федерации по гандболу</t>
  </si>
  <si>
    <t>3.1 Капитальный ремонт спортивного ядра стадиона им. Ю.А.Гагарина</t>
  </si>
  <si>
    <t>Количество работников Управления, повысивших свою квалификацию или прошедших курсы переподготовки</t>
  </si>
  <si>
    <t xml:space="preserve">Возмещение недополученных доходов организациям </t>
  </si>
  <si>
    <t>Обеспечение субсидиарной ответственности по задолженности МКП «Энергетик»</t>
  </si>
  <si>
    <t>Техническое обслуживание скважины в д.Ключи МКП "Энергетик"</t>
  </si>
  <si>
    <t>Итого по подпрограмме 3:</t>
  </si>
  <si>
    <t>&gt;=90</t>
  </si>
  <si>
    <t>Доля расходов бюджета Снежинского городского округа, формируемых в рамках программно-целевого метода, в общем объеме расходов бюджета городского округа (%)</t>
  </si>
  <si>
    <t>&gt;=50</t>
  </si>
  <si>
    <t>Доля расходов бюджета Снежинского городского округа в составе муниципальных заданий в общем объеме расходов бюджета городского округа (%)</t>
  </si>
  <si>
    <t>Количество  мероприятий, проводимых  на территории муниципального образования, регистрация которых осуществляется через АИС "Молодежь России"</t>
  </si>
  <si>
    <t>2.2.3. Финансовое обеспечение мероприятий в сфере молодежной политики</t>
  </si>
  <si>
    <t>2.2. Создание условий для организации занятости и досуга детей, подростков и молодежи</t>
  </si>
  <si>
    <t>3. Направление "Сохранение и развитие культурно-досуговой сферы"</t>
  </si>
  <si>
    <t>3.1 Финансовое обеспечение деятельности учреждений культуры</t>
  </si>
  <si>
    <t xml:space="preserve">Число посещений организаций культуры </t>
  </si>
  <si>
    <t>Количество фестивалей и конкурсов детского творчества всех жанров для выявления талантливой молодежи</t>
  </si>
  <si>
    <t>3.2. Формирование разноформатного обновляемого библиотечного фонда (коимплектование изданиями в традиционном и электронном формате)</t>
  </si>
  <si>
    <t>3.2.1. Комплектование книжных фондов муниципальных общедоступных библиотек</t>
  </si>
  <si>
    <t>Итого по направлению 3.2.</t>
  </si>
  <si>
    <t xml:space="preserve">5 "Укрепление материально-технической базы учреждений культуры и искусства" </t>
  </si>
  <si>
    <t xml:space="preserve">5.1. Обеспечение сохранности имущества и укрепление материально-технической базы учреждений культуры и искусства Снежинского городского округа. улучшение технического состояния зданий учреждений культуры и искусства, развитие инфраструктуры культуры с учетом документов стратегического </t>
  </si>
  <si>
    <t>5.1.1.Реновация муниципальных учреждений отрасли культуры</t>
  </si>
  <si>
    <t>Количество учреждений культуры, в которых проведена реновация, направленная на улучшение качества культурной среды, в том числе получивших современное оборудованик (нарастающим итогом)</t>
  </si>
  <si>
    <t xml:space="preserve">5.1.2. Обеспечение ДШИ необходимыми инструментами, оборудованием и </t>
  </si>
  <si>
    <t>Доля общеобразовательных учреждений и учреждений дополнительного образования, оснащенных системой управления контроля доступом в общей численности общеобразовательных учреждений и учреждений дополнительного образования, подведомственных Управлению образования</t>
  </si>
  <si>
    <t>Доля использованной муниципальным образованием субсидии местному бюджету на оборудование ППЭ в общем размере субсидии местному бюджету на оборудование ППЭ, перечисленной муниципальному образованию</t>
  </si>
  <si>
    <t>Снижение удельного веса численности обучающихся в общеобразовательных организациях, занимающихся в зданиях, требующих капитального ремонта или реконструкции</t>
  </si>
  <si>
    <t>Доля выполненных ремонтов в зданиях муниципальных образовательных организаций в общем количестве зданий муниципальных образовательных организаций, запланированных к проведению ремонта в текущем году</t>
  </si>
  <si>
    <t>Доля лагерей, принятых к началу летней оздоровительной кампании</t>
  </si>
  <si>
    <t>Доля детей, охваченных отдыхом в каникулярное время в лагерях с дневным пребыванием детей, в общем числе детей Челябинской области, охваченных отдыхом в организациях отдыха детей и их оздоровления всех типов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</si>
  <si>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</t>
  </si>
  <si>
    <t>Количество созданных новых рабочих мест на предприятиях малого и среднего предпринимательства, получивших субсидии</t>
  </si>
  <si>
    <t>Количество изготовленных рекламных роликов о ТОСЭР "Снежинск"</t>
  </si>
  <si>
    <t>12. Муниципальная программа "Развитие системы гражданской обороны, защиты от чрезвычайных ситуаций" на 2019-2024г.г.</t>
  </si>
  <si>
    <t>Фактическое финансирование в объеме меньше запланированного</t>
  </si>
  <si>
    <t>Доля граждан Снежинского городского округа, систематически занимающихся физической культурой и спортом, в общей численности населения Снежингского городского округа в возрасте 3 - 79 лет</t>
  </si>
  <si>
    <t xml:space="preserve"> -рупорных громковорителей</t>
  </si>
  <si>
    <t>Задача 4.Участие в пределах своих полномочий в создании, размещении, хранении, использовании, пополнении резервов материально-технических, продовольственных, медицинских и иных средств на территории Снежинского городского округа для решения задач гражданской обороны, предотвращения угрозы  или ликвидации последствий чрезвычайных ситуаций природного и техногенного характера.</t>
  </si>
  <si>
    <t xml:space="preserve"> - продовольствие из расчета снабжения на 3 суток;</t>
  </si>
  <si>
    <t xml:space="preserve"> - медикаменты;</t>
  </si>
  <si>
    <t xml:space="preserve"> - вещевое имущество;</t>
  </si>
  <si>
    <t xml:space="preserve"> - спецодежда;</t>
  </si>
  <si>
    <t xml:space="preserve"> - респираторы;</t>
  </si>
  <si>
    <t xml:space="preserve"> - мобильные источники электроснабжения</t>
  </si>
  <si>
    <t>Задача 5. Обеспечение, в пределах своих полномочий, первичных мер пожарной безопасности в границах Снежинского городского округа.</t>
  </si>
  <si>
    <t>- пожарных гидрантов;</t>
  </si>
  <si>
    <t>- пожарных водоемов;</t>
  </si>
  <si>
    <t>- пожарных пирсов</t>
  </si>
  <si>
    <t>Количество оперативных групп, организующих патрулирование территории муниципального образования в условиях устойчивой сухой, жаркой и ветреной погоды или при получении штормового предупреждения по утвержденным маршрутам.(Показатель №8):</t>
  </si>
  <si>
    <t>- патрульных групп;</t>
  </si>
  <si>
    <t>-патрульно-маневренных групп;</t>
  </si>
  <si>
    <t>- маневренных групп;</t>
  </si>
  <si>
    <t>- патрульно-контрольных групп</t>
  </si>
  <si>
    <t>Задача 6. Проведение подготовки и обучения населения в области гражданской обороны, а также способам защиты и действиям при чрезвычайных ситуациях.</t>
  </si>
  <si>
    <t>Количество утвержденных реестров обеспечения повышения квалификации должностных лиц и работников гражданской обороны муниципального образования в образовательных учреждениях дополнительного профессионального образования. (Показатель №9)</t>
  </si>
  <si>
    <t>Задача 7. 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округа.</t>
  </si>
  <si>
    <t>Количество созданных, оснащённых и подготовленных в области гражданской обороны:</t>
  </si>
  <si>
    <t>- объектовых аварийно-спасательных формирований;</t>
  </si>
  <si>
    <t>-  службы  Снежинского городского звена Челябинской областной подсистемы единой государственной системы предупреждения и ликвидации чрезвычайных ситуаций;</t>
  </si>
  <si>
    <t>Задача 8. Осуществление сбора информации в области защиты населения и территорий от чрезвычайных ситуаций и обмен такой информацией.</t>
  </si>
  <si>
    <t>Задача 9. Осуществление мероприятий по обеспечению безопасности людей на водных объектах, охране их жизни и здоровья.</t>
  </si>
  <si>
    <t>Исполнение плана по расходам в бюджета Снежинского городского округа (%)</t>
  </si>
  <si>
    <t>&gt; 90</t>
  </si>
  <si>
    <t>&lt;=10</t>
  </si>
  <si>
    <t>Дефицит бюджета по отношению к утвержденному годовому объему доходов местного бюджета без учета утвержденного объема безвозмездных поступлений (%)</t>
  </si>
  <si>
    <t>Организация в пределах своих полномочий обеспечения сбалансированности местного бюджета</t>
  </si>
  <si>
    <t>Расчет и оплата процентов за пользование кредитными средствами производились на основании фактических сроков и объемов использования предоставленных кредитов</t>
  </si>
  <si>
    <t>Доля расходов бюджета Снежинского городского округа на обслуживание муниципального долга в общем объеме расходов местного бюджета (%)</t>
  </si>
  <si>
    <t>&lt;5</t>
  </si>
  <si>
    <t>Муниципальный долг Снежинского городского округа по отношению к утвержденному годовому объему доходов местного бюджета без учета утвержденного объема безвозмездных поступлений (%)</t>
  </si>
  <si>
    <t>&lt;=50</t>
  </si>
  <si>
    <t>Индикативный показатель достигнут. Достижение индикативного показателя - 100%</t>
  </si>
  <si>
    <t>Актуализация Схемы теплоснабжения ЗАТО г. Снежинск на период с 2013 года по 2027 год</t>
  </si>
  <si>
    <t>Содержание улично-дорожной сети, уходные работы за зелеными насаждениями, содержание дорожных ограждений, содержание дорожных знаков. Содержание и текущий ремонт сети ливневой канализации, содержание снежной свалки, организация вывоза ТБО, КБМ и содержание контейнерных площадок (МКП "Чистый город")</t>
  </si>
  <si>
    <t>Протяженность обслуживаемых сетей ливневой канализации</t>
  </si>
  <si>
    <t>Количество снежных свалок на содержании</t>
  </si>
  <si>
    <t>Количество дорожных знаков на содержании</t>
  </si>
  <si>
    <t>Протяженность дорожных ограждений на содержании</t>
  </si>
  <si>
    <t>Объем вывозимых ЖБО, куб. м</t>
  </si>
  <si>
    <t xml:space="preserve">Количество организаций культуры и искусств, в которых проведены мероприятия по укреплению материально-технической базы </t>
  </si>
  <si>
    <t>Итого по направлению 5.1.</t>
  </si>
  <si>
    <t>6. "Обеспечение деятельности учреждений культуры"</t>
  </si>
  <si>
    <t>Итого по направлению 6</t>
  </si>
  <si>
    <t>Численность детей школьного возраста, охваченных отдыхом и оздоровлением в загородных лагерях:</t>
  </si>
  <si>
    <t xml:space="preserve">Управление образования </t>
  </si>
  <si>
    <t>2.  Муниципальная программа "Развитие культуры и реализация молодежной политики в Снежинском городском округе" на 2018-2024гг.</t>
  </si>
  <si>
    <t>1. "Развитие системы художественного образования"</t>
  </si>
  <si>
    <t>2.  "Реализация молодежной политики"</t>
  </si>
  <si>
    <t>2.1. Создание условий для более полного вовлечения молодежи в социально-экономическую, политическую т культурную жизнь общества</t>
  </si>
  <si>
    <t>2.1.1. Социальная активность</t>
  </si>
  <si>
    <t xml:space="preserve">Количество молодых граждан в возрасте от 14 до 30 лет, принявших участие в реализации мероприятий патриотической направленности 
</t>
  </si>
  <si>
    <t>Доля молодых людей от общего числа молодых людей в возрасте от 14 до 30 лет. Принявших участие а мероприятиях, направленных на развитие правовой грамотности и повышение электоральной активности</t>
  </si>
  <si>
    <t>3."Сохранение и развитие культурно-досуговой сферы"</t>
  </si>
  <si>
    <t>3.1. Сохранение нематериального культурного наследия. Формирование у гражданустой чтвого интереса к культурно-творческим мероприятиям</t>
  </si>
  <si>
    <t xml:space="preserve">3.1.1. Финансовое обеспечение деятельности Парка культуры и отдыха </t>
  </si>
  <si>
    <t>Число посещений организаций культуры</t>
  </si>
  <si>
    <t>Количество фестивалей и конкурсов детского творчества всех жанров для выявления и поддержки талантливой молодежи</t>
  </si>
  <si>
    <t>3.2 Финансовое обеспечение деятельности библиотек</t>
  </si>
  <si>
    <t>5. "Укрепление материально-технической базы учреждений культуры и искусства"</t>
  </si>
  <si>
    <r>
      <t>5.2 У</t>
    </r>
    <r>
      <rPr>
        <b/>
        <sz val="10"/>
        <rFont val="Times New Roman"/>
        <family val="1"/>
      </rPr>
      <t>крепление материально-технической базы учреждений культуры и искусства</t>
    </r>
  </si>
  <si>
    <t>Количество организаций культуры и искусства, в которых проведены мероприятия по укреплению материально-технической базы</t>
  </si>
  <si>
    <t>Итого по направлению 5.2</t>
  </si>
  <si>
    <t xml:space="preserve">6. "Обеспечение деятельности учреждений культуры" </t>
  </si>
  <si>
    <t xml:space="preserve">Итого по направлению 3. </t>
  </si>
  <si>
    <t>Объем предоставляемых банных услуг, количество помывок</t>
  </si>
  <si>
    <t xml:space="preserve"> -подготовка материалов для печатных СМИ;</t>
  </si>
  <si>
    <t xml:space="preserve"> -памятки для населения.</t>
  </si>
  <si>
    <t>Задача 2. Обеспечение функционирования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ситуаций.</t>
  </si>
  <si>
    <t>Задача 3.Поддержание в состоянии постоянной готовности к использованию систем оповещения населения об опасности. Обеспечение своевременного оповещение населения об угрозе возникновения или о возникновении чрезвычайных ситуаций.</t>
  </si>
  <si>
    <t>- уличных громкоговорителей</t>
  </si>
  <si>
    <t xml:space="preserve"> - электросирен</t>
  </si>
  <si>
    <t xml:space="preserve"> Предоставление  субсидии  носит  заявительный характер.  Перечисление  субсидии  производится  на основании  предоставленных   претендентом  на субсидию документов, подтверждающих  величину   подлежащих  возмещению затрат  (постановление  администрации  Снежинского городского округа  от 04.07.2018 № 865 "Об утверждении порядка предоставления субсидии  в целях возмещения затрат в связи с выполнением  работ по капитальному ремонту объектов  электросетевого хозяйства, сетей тепло-, водоснабжения, водоотведения  города Снежинска Челябинской  области, находящихся в муниципальной собственности"). За    2019 обращение  от  АО "Трансэнерго"  на предоставление  субсидии  в сумме  2 251 480,80 рублей  (освоение 99,6%)).</t>
  </si>
  <si>
    <r>
      <t>Субсидия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на возмещение затрат, произведенных  за счет целевых взносов на инженерное обеспечение  территорий садоводческих, огороднических и дачных некоммерческих объединений граждан, расположенных в Снежинском городском округе</t>
    </r>
  </si>
  <si>
    <t>Итого по подпрограмме 1</t>
  </si>
  <si>
    <t>Экономия от проведения конкурсных процедур</t>
  </si>
  <si>
    <t>Количество участников конкурсов, проводимых для субъектов малого и среднего предпринимательства</t>
  </si>
  <si>
    <t>Степень удовлетворенности получателей государственных и муниципальных услуг, наличие/отсутствие жалоб, %</t>
  </si>
  <si>
    <t>Эксплуатируемая площадь здания</t>
  </si>
  <si>
    <t>Количество информационных систем обеспечения типовой деятельности</t>
  </si>
  <si>
    <t>Эксплуатируемая площадь здания бизнес-инкубатора</t>
  </si>
  <si>
    <t>3. Муниципальная Программа "Развитие образования в Снежинском городском округе" на 2018 - 2023 гг.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</si>
  <si>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</si>
  <si>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</si>
  <si>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Площадь выполнения работ по ремонту асфальтобетонного покрытия внутриквартальных территорий</t>
  </si>
  <si>
    <t xml:space="preserve">Площадь отремонтированных пешеходных дорожек из щебня </t>
  </si>
  <si>
    <t>Протяженность установленных ограждений/количество столбиков</t>
  </si>
  <si>
    <t>Количество установленных малых архитектурных форм</t>
  </si>
  <si>
    <t xml:space="preserve">Площадь устроенного щебеночного основания для парковки автотранспорта </t>
  </si>
  <si>
    <t>Площадь устроенных пешеходных дорожек</t>
  </si>
  <si>
    <t>Объем привозного песка на детские площадки</t>
  </si>
  <si>
    <t xml:space="preserve">Количество устроенных водоотводных лотков </t>
  </si>
  <si>
    <t>Количество отремонтированных муниципальных квартир</t>
  </si>
  <si>
    <t xml:space="preserve">Количество проводимых конкурсов "Самый благоустроенный город" </t>
  </si>
  <si>
    <t>- «Месячник безопасности людей на водных объектах Снежинского городского округа»;</t>
  </si>
  <si>
    <t>- «Крещенские купания».</t>
  </si>
  <si>
    <t>Задача 10. Обеспечение эксплуатации и развития системы обеспечения вызова экстренных оперативных служб по единому номеру «112».</t>
  </si>
  <si>
    <t>Задача 11. Ремонт и содержание имущества в исправном состоянии</t>
  </si>
  <si>
    <r>
      <t>Количество содержащихся помещений ЕДДС г. Снежинска</t>
    </r>
    <r>
      <rPr>
        <sz val="10"/>
        <color indexed="63"/>
        <rFont val="Times New Roman"/>
        <family val="1"/>
      </rPr>
      <t>.(Показатель №15)</t>
    </r>
  </si>
  <si>
    <t>Количество организованных мероприятий по обеспечению безопасности на воде.(Показатель №14):</t>
  </si>
  <si>
    <t>9. Муниципальная Программа "Развитие системы гражданской обороны, защиты от чрезвычайных ситуаций" на 2019-2024 гг.</t>
  </si>
  <si>
    <t>Задача 8. 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округа.</t>
  </si>
  <si>
    <t>Доходы  от реализованного КУИ города Снежинска  имущества муниципальной  казны</t>
  </si>
  <si>
    <t>Исполнение плана по доходам от реализованного имущества муниципальной казны</t>
  </si>
  <si>
    <t>Прочие налоговые и неналоговые доходы, администрируемые  КУИ города Снежинска (кроме дохода от реализации  имущества  муниципальной казны)</t>
  </si>
  <si>
    <t>Исполнение плана поступлений  налоговых и неналоговых  доходов (кроме поступлений  от реализации  имущества)</t>
  </si>
  <si>
    <t>Количество договоров аренды земельных участков, заключенных силами  сотрудников  КУИ города Снежинска (за исключением  расторгнутых, прекращенных)</t>
  </si>
  <si>
    <t>Количество действующих договоров аренды и безвозмездного пользования муниципальным имуществом, заключенных КУИ города Снежинска</t>
  </si>
  <si>
    <t>Экономия  в результате  размещения муниципального заказа (по аукционам) в сумме        8 790,69 рублей;           20 000,00 рублей - кредиторская  задолженность на 31.12.2019 г.  по муниципальному контракту  № 41 от 02.12.2019 (оценка  акций АО "Аптека №1"), контрагент  ООО "Тройка"</t>
  </si>
  <si>
    <t>Оценка  запланирована  на 2020 г.</t>
  </si>
  <si>
    <t>Количество  объектов  реестра муниципального имущества</t>
  </si>
  <si>
    <t>Балансовая стоимость муниципального имущества, учтенного в реестре  муниципального имущества</t>
  </si>
  <si>
    <t>Количество объектов  муниципального имущества (кроме земельных участков), по которым КУИ города Снежинска организовано проведение кадастровых работ (в течение года)</t>
  </si>
  <si>
    <t>Количество земельных участков, поставленных на кадастровый учет КУИ города Снежинска  (в течение года)</t>
  </si>
  <si>
    <t>Доля зарегистрированных объектов недвижимого имущества, по отношению к общему  количеству недвижимого имущества, подлежащего  регистрации</t>
  </si>
  <si>
    <t>Доля объектов недвижимого имущества, поставленных на кадастровый учет, по отношению к общему количеству объектов  недвижимого  имущества, подлежащего постановке  на государственный кадастровый учет</t>
  </si>
  <si>
    <t>Доля земельных участков, местоположение границ которых не установлено, в соответствии с требованиями Закона о регистрации, в общем количестве  земельных участков, право собственности на которые  в соответствии с законодательством  подлежит государственной  регистрации</t>
  </si>
  <si>
    <t>Доля  земельных участков под объектами недвижимого  имущества, находящихся в муниципальной  собственности, прошедших государственную  регистрацию права собственности, в общем количестве  земельных участков, право собственности на которые подлежит государственной регистрации</t>
  </si>
  <si>
    <t xml:space="preserve">Предоставление субсидий бюджетному учреждению на финансовое обеспечение программного и информацион
ного сопровождения, обслуживание оргтехники для органов местного самоуправления и органов управления, входящих в систему администрации города Снежинска,
а также обеспечение деятельности администрации Снежинского городского округа в качестве учредителя средств массовой информации
</t>
  </si>
  <si>
    <t>Подпрограмма 1 "Развитие малого и среднего предпринимательства в Снежинском городском округе"</t>
  </si>
  <si>
    <t>Подпрограмма 3 "Повышение качества предоставляемых услуг в Снежинском городском округе"</t>
  </si>
  <si>
    <t>Предоставление субсидий автономному учреждению на финансовое обеспечение предоставления государственных и муниципальных услуг на базе многофункционального центра предоставления государственных и муниципальных услуг в городе Снежинске</t>
  </si>
  <si>
    <t>Доля спортсменов-разрядников в общем количестве лиц, занимающихся в системе СШОР</t>
  </si>
  <si>
    <t>Количество подготовленных спортсменов-КМС, МС</t>
  </si>
  <si>
    <t>Капитальный ремонт участка автомобильной дороги с устройством автобусных остановок в селе Воскресенское в пределах улиц Бажова - Заречная</t>
  </si>
  <si>
    <t>Протяженность муниципальных автомобильных дорог общего пользования</t>
  </si>
  <si>
    <t>Протяженность построенных и реконструированных автомобильных дорог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</si>
  <si>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</si>
  <si>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 xml:space="preserve">04 октября 2019 года заключен переходящий муниципальный контракт № 0369300005119000009 А09-КР/2019 по капитальному ремонту участка автомобильной дороги с устройством автобусных остановок в селе Воскресенское в пределах улиц Бажова-Заречная на сумму - 4 350 817,04 руб., в том числе:
- 2 190 485,95 руб. – в 2019 году.
- 2 160 331,09 руб. – в 2020 году.
Освоение по основному контракту на 01 января 2020 года – 1 587 918,64 руб. Выполнены работы по планировке, установлены два остановочных комплекса, смонтированы опоры освещения.
Произведена оплата по муниципальному контракту № ЕП 50/2017 от 18.10.2017г. на сумму - 69 790,00 руб.  Окончательная оплата за выполненные проектные работы будет  произведена только после получения положительного заключения Гос. экспертизы.
Заключен муниципальный  контракт. № 1500 от 02.07.2019 - проверка достоверности сметной стоимости на сумму - 7 200,00 руб.
Заключен договор № 9918076 от 30.10.2019  на продление технических условий на сумму – 2 160,00 руб.
Освоение на 01 января 2020 года – 1 667 068,64руб.
 Срок завершения работ: 01 июля 2020 года.
Остаток средств - 523 417,31 руб.
</t>
  </si>
  <si>
    <t>Количество дорожно-транспортных происшествий</t>
  </si>
  <si>
    <t xml:space="preserve">Сети электроснабжения 0,4 кВ и 10 кВ с трансформаторной подстанцией мощностью 400 кВа в поселке Ближний Береговой </t>
  </si>
  <si>
    <t xml:space="preserve">Количество установленных дублирующих дорожных знаков </t>
  </si>
  <si>
    <t>Количество перенесенных пешеходных переходов</t>
  </si>
  <si>
    <t xml:space="preserve">Оплата  по факту  выполненных работ на основании  актов. Нарушение  подрядными организациями  сроков  исполнения  муниципальных  контрактов. Расторжение  Заказчиком (КУИ города Снежинска)  в декабре 2019 года муниципальных контрактов (в связи с невозможностью исполнения  со стороны  Исполнителей).  В связи с этим, на проведение  комплексных кадастровых работ   и проведению работ по описанию  территориальных  зон  из областных средств  в сумме 3 476 000,00 рублей освоено 380 395,26 рублей (11%), из местных - из суммы 756 400,00 рублей освоено  52 133,63 рублей (7%). По кадастровым работам  по состоянию на 31.12.2019 г.  кредиторская  задолженность в сумме 31 000,00 рублей (контрагент ООО ГеоПрофи). </t>
  </si>
  <si>
    <t>Экономия  в результате заключения  муниципального контракта  № 12 от 14.02.2019 с ОГУП ОЦТИ на изготовление  копий техпаспортов. Исполнение на сумму 4 468,00 рублей  из 5 000,00 рублей. Экономия  532,00 рублей.  Оплата  по факту  выполненных работ.</t>
  </si>
  <si>
    <t>Количество объектов  муниципальной  казны, не участвующих в хозяйственном  обороте</t>
  </si>
  <si>
    <t xml:space="preserve">В соответствии с Соглашением с Минстроем ЧО №123 от 20.09.2019 на выполнение  мероприятия выделены средства на условии софинансирования в размере - 2 171 527,28 руб., в том числе, 5746,83 руб. – средства МБ.
Заключен муниципальный  контракт № 0369300005119000007 А07-КС/2019 от 15.07.2019 на строительство сетей электроснабжения 0,4 кВ и 10 кВ с трансформаторной подстанцией мощностью 400 кВА в пос. Ближний Береговой   на сумму -  2 090 835,20 руб. 
 Заключены 4 договора (№ТП-04/18 от 06.02.2018, №ТП-05/18 от 06.02.2018, №ТП-06/18 от 07.02.2018, №ТП-77/18 от 28.11.2018) с АО «Трансэнерго» на технологическое присоединение к электрическим сетям трансформаторной подстанции на общую сумму 38 472,72 руб.  Итого МБ - 44219,55 руб.
Освоение на 01.01.2020 года. – 1836529,65 руб., в т.ч. 4 860,27 руб. – средства МБ..
Выполнены следующие работы:
- выполнена установка трансформаторной подстанции;
- проведены пусконаладочные работы сетей электроснабжения 0,4 кВ;
- выполнена установка опор.
Работы приостановлены вследствие предписания Государственного строительного надзора.
Окончание работ планируется в 2020 году. 
Остаток средств – 373 470,35 руб., в т.ч. МБ - 39 359,28 руб.
</t>
  </si>
  <si>
    <t>Воздушная линия электроснабжения 10 кВ в жилом районе "Поселок Сокол" Снежинского городского округа (проектно-изыскательские работы)</t>
  </si>
  <si>
    <t xml:space="preserve">Замена существующей трансформаторной подстанции на новую в деревне Ключи Снежинского городского округа Челябинской области  </t>
  </si>
  <si>
    <t>Капитальный ремонт сетей теплоснабжения на территории МАУ ДОЦ "Орленок"</t>
  </si>
  <si>
    <t>Задача 5 Подпрограммы 1"Обсепечение предоставления мер социальной поддержки льготным категриям граждан(государственные полномочия) - выполнение административных функций.</t>
  </si>
  <si>
    <t xml:space="preserve">В соответствии с Соглашением с Минстроем ЧО №123 от 20.09.2019 на выполнение  мероприятия выделены средства на условии софинансирования в размере - 2 171 527,28 руб., в том числе, 2 165 780,45 руб. – средства ОБ. 
Освоение на 01.01.2020 года. – 1 836 529,65 руб., в т.ч. 1 831 669,38 руб. – средства ОБ..
Выполнены следующие работы:
- выполнена установка трансформаторной подстанции;
- проведены пусконаладочные работы сетей электроснабжения 0,4 кВ;
- выполнена установка опор.
Работы приостановлены вследствие предписания Государственного строительного надзора.
Окончание работ планируется в 2020 году. 
Остаток средств – 373 470,35 руб., в т.ч. ОБ - 334 111,07 руб.
</t>
  </si>
  <si>
    <t>Итого по программе 10</t>
  </si>
  <si>
    <t>10. Муниципальная Программа "Комплексное развитие систем коммунальной инфраструктуры  Снежинского городского округа" на 2017-2026 гг.</t>
  </si>
  <si>
    <t>По бюджетным учреждениям</t>
  </si>
  <si>
    <t>Актуализация Схемы водоснабжения и водоотведения муниципального образования «Город Снежинск» на период с 2014г. По 2030г.</t>
  </si>
  <si>
    <t>Объем потребления ТЭ МУ, тыс.
Гкал</t>
  </si>
  <si>
    <t>Объем потребления ЭЭ МУ, тыс.
кВтч</t>
  </si>
  <si>
    <t>Объем потребления холодной воды МУ, тыс. м3</t>
  </si>
  <si>
    <t>Объем потребления горячей воды МУ, тыс. м3</t>
  </si>
  <si>
    <t>Удельный расход ТЭ МУ на 1 м² общей площади,  Гкал/м2</t>
  </si>
  <si>
    <t>Удельный расход ЭЭ на обеспечение МУ, кВтч/ чел</t>
  </si>
  <si>
    <t>Удельный расход ЭЭ на снабжение МУ, кВтч/ м2</t>
  </si>
  <si>
    <t>Удельный расход холодной воды на обеспечение БУ,  м3/чел</t>
  </si>
  <si>
    <t>Удельный расход горячей воды на обеспечение БУ,  м3/чел</t>
  </si>
  <si>
    <t>Отношение площади МУ, в которых расчет за ТЭ осуществляется с использованием приборов учета, к общей площади МУ, %</t>
  </si>
  <si>
    <t>Отношение численности сотрудников МУ  в которых расход холодной воды осуществляют с использованием приборов учета, к общей численности сотрудников МУ, %</t>
  </si>
  <si>
    <t>Отношение численности сотрудников МУ  в которых расход горячей воды осуществляют с использованием приборов учета, к общей численности сотрудников МУ, %</t>
  </si>
  <si>
    <t>Удельный расход ЭЭ в системах уличного освещения города, кВтч/м2 освещаемой площади</t>
  </si>
  <si>
    <t>Количество обучающихся в общеобразовательных организациях</t>
  </si>
  <si>
    <t>Обеспеченность учебниками</t>
  </si>
  <si>
    <t xml:space="preserve">Предоставление субсидий 
субъектам малого и среднего предпринимательства на возмещение затрат, связанных с приобретением оборудования в целях создания, и (или) развития, и (или) модернизации производства товаров (работ, услуг)
</t>
  </si>
  <si>
    <t xml:space="preserve">Информационное обеспечение инвестиционной привлекательности Снежинского городского округа в связи с запуском и функционирова
нием ТОСЭР «Снежинск»
</t>
  </si>
  <si>
    <t>Расходы на создание новых мест в общеобразовательных организациях</t>
  </si>
  <si>
    <t>Расходы для проведения государственной итоговой аттестации</t>
  </si>
  <si>
    <t>Работы по благоустройству территории (установка ограждения, устройство и ремонты стадионов, игровых площадок ремонт асфальтового покрытия, установка игрового оборудования, уборка опасных деревьев и другие работы по благоустройству)</t>
  </si>
  <si>
    <t>Организация отдыха детей в каникулярное время:</t>
  </si>
  <si>
    <t>Льгота суммы родительской платы за путевки в загородные лагеря и лагеря с дневным пребыванием для детей, находящихся в трудной жизненной ситуации:</t>
  </si>
  <si>
    <t>доля расходов по Программе 3 в общем объеме полученных средств</t>
  </si>
  <si>
    <r>
      <t xml:space="preserve"> </t>
    </r>
    <r>
      <rPr>
        <i/>
        <sz val="8"/>
        <rFont val="Times New Roman"/>
        <family val="1"/>
      </rPr>
      <t>заявительный характер выплат, выплаты произведены по факту обращений</t>
    </r>
  </si>
  <si>
    <t>Количество тренеров, прошедших через систему повышения квалификации</t>
  </si>
  <si>
    <t>Количество квалифицированных тренеров и тренеров-преподавателей физкультурных организаций, работающих по специальности</t>
  </si>
  <si>
    <t>Количество победителей и призеров областных, всероссийских и международных соревнований в общей численности обучающихся и спортсменов ДЮСШ и СШОР</t>
  </si>
  <si>
    <t>Занятое командой "Сунгуль" место в Чемпионате Российской Федерации по гандболу среди команд Суперлиги</t>
  </si>
  <si>
    <t>Занятое место в финале Первенстве Российской Федераци по гандболу командой этапов спортивной специализации и спортивногосовершенствования СШОР</t>
  </si>
  <si>
    <t>Всего по Программе 2</t>
  </si>
  <si>
    <t>Всего по Программе 3</t>
  </si>
  <si>
    <t>Всего по Программе 6</t>
  </si>
  <si>
    <t>Всего по Программе 7.</t>
  </si>
  <si>
    <t>Всего по Программе 8</t>
  </si>
  <si>
    <t>Всего по Программе 9:</t>
  </si>
  <si>
    <t>Всего по Программе 10</t>
  </si>
  <si>
    <t xml:space="preserve">Всего по Программе 11 </t>
  </si>
  <si>
    <t>Всего по Программе 12</t>
  </si>
  <si>
    <t>Всего по Программе 14</t>
  </si>
  <si>
    <t>Всего по Программе 16</t>
  </si>
  <si>
    <t>Всего по Программе 15</t>
  </si>
  <si>
    <t>Адаптация зданий для доступа инвалидов и других МГН (приспособление входных групп, лестниц, путей движения внутри зданий, зон оказания услуг, оборудование помещений и санитарно-гигиенических комнат поручнями, приобретение и установку пандусов, подъемников, оснащение тактильными плитками, рельефными указателями, звуковыми информаторами, обозначениями по системе Брайля, проведение иных работ, установку информационных табло для глухих и слабослышащих, видеотерминалов, индукционных систем, информационных дисплеев, видеогидов, видеотелефонов и иных приспособлений и технических средств для всех категорий инвалидов) с целью создания безбарьерной среды для инклюзивного образования детей-инвалидов, детей с ограниченными возможностями здоровья в дошкольных образовательных организациях</t>
  </si>
  <si>
    <t>Количество воспитанников в дошкольных образовательных организациях</t>
  </si>
  <si>
    <t>Удельный вес численности воспитанников дошкольных образовательных организаций (далее – ДОО), охваченных образовательными программами дошкольного образования, соответствующими требованиям ФГОС ДОО</t>
  </si>
  <si>
    <t>Количество получателей льгот  за присмотр и уход в дошкольных образовательных организациях</t>
  </si>
  <si>
    <t>Организация и проведение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</si>
  <si>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Содержание и  ремонт автодорог </t>
  </si>
  <si>
    <t>Организация перевозки призывников на областной сборный пункт и перевозки граждан, подлежащих призыву, на медицинское обследование в лечебные учреждения города Челябинска</t>
  </si>
  <si>
    <t>доля расходов по программе в общем объеме полученных средств</t>
  </si>
  <si>
    <t>Управление культуры</t>
  </si>
  <si>
    <t>Количество публикаций в средствах массовой информации о реализуемых мероприятиях в сфере молодежной политики</t>
  </si>
  <si>
    <t>Итого по направлению 2.1</t>
  </si>
  <si>
    <t>Количество проведенных мероприятий</t>
  </si>
  <si>
    <t>Итого по направлению 3.1</t>
  </si>
  <si>
    <t>Объем библиотечного фонда</t>
  </si>
  <si>
    <t>Работы по благоустройству территорий (приобретение и установка игровых и спортивных комплексов, ремонт прогулочных площадок, вырубка опасных деревьев, текущий ремонт ограждений, текущий ремонт асфальтового покрытия и т.п.)</t>
  </si>
  <si>
    <t>«Оказание молодым семьям государственной поддержки для улучшения жилищных условий в городе Снежинске» ФБ</t>
  </si>
  <si>
    <t>«Оказание молодым семьям государственной поддержки для улучшения жилищных условий в городе Снежинске» ОБ</t>
  </si>
  <si>
    <t>Количество выпущенных номеров печатного периодического издания</t>
  </si>
  <si>
    <t>Количество услуг</t>
  </si>
  <si>
    <t>Итого по Программе 5</t>
  </si>
  <si>
    <t>Итого по Программе 7</t>
  </si>
  <si>
    <t>1.1 Финансовое обеспечение деятельности детских школ искусств</t>
  </si>
  <si>
    <t xml:space="preserve">9.  Муниципальная Программа «Формирование современной городской среды Снежинского городского округа» на 2018 - 2024 годы </t>
  </si>
  <si>
    <t>Комплексное благоустройство территории  Парка культуры и отдыха  в г.Снежинске</t>
  </si>
  <si>
    <t>Количество представленных в Министерство строительства и инфраструктуры Челябинской области лучших проектов по благоустройству дворовых территорий многоквартирных домов (мест массового отдыха населения (городских парков), общественных территорий) в 2019 году</t>
  </si>
  <si>
    <t>Количество объектов недвижимого имущества, находящихся в собственности  юридических лиц и индивидуальных предпринимателей, которые подлежат благоустройству, не позднее 2020 года,  по соглашениям, заключенным с администрацией Снежинского городского округа</t>
  </si>
  <si>
    <t xml:space="preserve">Средства не были профинансированы в полном объеме (письмо Главы СГО от 25.12.2019 № Ф-01-06/2323).
В том числе  9 623,32 руб.-фактически сложившаяся экономия </t>
  </si>
  <si>
    <t xml:space="preserve"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</si>
  <si>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Капитальный ремонт  помещений МБОУ "ДТДиМ", клуб "Надежды луч", расположенного по адресу г.Снежинск, ул. Васильева, д.35</t>
  </si>
  <si>
    <t>Финансовое обеспечение деятельности Управления образования</t>
  </si>
  <si>
    <t>Финансовое обеспечение деятельности МКУ "ЦОДОУ"</t>
  </si>
  <si>
    <t xml:space="preserve">Средства не были профинансированы в полном объеме (письмо Главы СГО от 25.12.2019 № Ф-01-06/2323).
В том числе  12 769,20 руб.-фактически сложившаяся экономия </t>
  </si>
  <si>
    <t>Фактически сложившаяся потребность</t>
  </si>
  <si>
    <t>Приобретение транспортных средств для организации перевозки обучающихся</t>
  </si>
  <si>
    <t>Охват детей 0-7 лет дошкольным образованием</t>
  </si>
  <si>
    <t>За счет создания дополнительных условий для привлечения детей раннего возраста и детей с ОВЗ</t>
  </si>
  <si>
    <t xml:space="preserve">Проведена дополнительная комиссия по рассмотрению заявлений. </t>
  </si>
  <si>
    <t>Количество граждан, направляемых на целевое обучение, успешно окончивших семестр</t>
  </si>
  <si>
    <t>Доля ДОО, оснащенных системой видеонаблюдения</t>
  </si>
  <si>
    <t>Доля ДОО, оснащенных системой СКУД</t>
  </si>
  <si>
    <t>Подключение построенных сетей к действующим магистральным сетям (виды)</t>
  </si>
  <si>
    <t>Протяженность построенных магистральных сетей (м)</t>
  </si>
  <si>
    <t>Количество муниципальных служащих, принявших участие в семинарах (конференциях)</t>
  </si>
  <si>
    <t>Количество муниципальных служащих, прошедших повышение квалификации</t>
  </si>
  <si>
    <t>Обучение сотрудников за счет средств областной программы</t>
  </si>
  <si>
    <t>Задача 1 Подпрограммы 2</t>
  </si>
  <si>
    <t xml:space="preserve">Задача 2  Подпрграммы 2 </t>
  </si>
  <si>
    <t>ИТОГО по Подпрограмме 2</t>
  </si>
  <si>
    <t xml:space="preserve">Количество индивидуальных жилых домов и земельных участков, предоставленных для их размещения, с заключенными по результатам инвентаризации соглашениям с собственниками указанных домов об их благоустройстве не позднее 2020 года в соответствии с требованиями правил благоустройства Снежинского городского округа
</t>
  </si>
  <si>
    <r>
      <t xml:space="preserve">Количество разработанных </t>
    </r>
    <r>
      <rPr>
        <sz val="9"/>
        <rFont val="Times New Roman"/>
        <family val="1"/>
      </rPr>
      <t>планов гражданской обороны и защиты населения и действий по предупреждению и ликвидации чрезвычайных ситуаций природного и техногенного характера</t>
    </r>
  </si>
  <si>
    <t xml:space="preserve">Организация и осуществление мероприятий по гражданской обороне, защите населения и территорий городского округа от чрезвычайных ситуаций природного и техногенного характера </t>
  </si>
  <si>
    <t>Количество мероприятий по пропаганде знаний в области гражданской обороны, предупреждения и ликвидации ЧС</t>
  </si>
  <si>
    <t>Обеспечение функционирования постоянно действующего органа управления, специально уполномоченного на решение задач в области защиты населения и территорий от чрезвычайных ситуаций</t>
  </si>
  <si>
    <t>Поддержание в состоянии постоянной готовности к использованию систем оповещения населения об опасности. Обеспечение своевременного оповещение населения об угрозе возникновения или о возникновении чрезвычайных ситуаций</t>
  </si>
  <si>
    <t>Количество используемых специализированных технических средств оповещения и информирования населения в местах массового пребывания людей</t>
  </si>
  <si>
    <t>Количество поддерживаемых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характера:</t>
  </si>
  <si>
    <t>Создание и содержание в целях гражданской обороны запасов продовольствия, медицинских средств индивидуальной защиты и иных средств:</t>
  </si>
  <si>
    <t>Участие в пределах своих полномочий в создании, размещении, хранении, использовании, пополнении резервов материально-технических, продовольственных, медицинских и иных средств                                                                                                                         на территории Снежинского городского округа для решения задач гражданской обороны, предотвращения угрозы  или ликвидации последствий чрезвычайных ситуаций природного и техногенного характера</t>
  </si>
  <si>
    <t>Обеспечение, в пределах своих полномочий, первичных мер пожарной безопасности в границах Снежинского городского округа.</t>
  </si>
  <si>
    <t>Количество объектов наружного пожарного водоснабжения муниципального образования подлежащих учету и контролю:</t>
  </si>
  <si>
    <t>Проведение подготовки и обучения населения в области гражданской обороны, а также способам защиты и действиям при чрезвычайных ситуациях.</t>
  </si>
  <si>
    <t>Создание, содержание и организация деятельности аварийно-спасательной службы</t>
  </si>
  <si>
    <t>Количество действующих свидетельств об аттестации аварийно-спасательного формирования.</t>
  </si>
  <si>
    <t>Осуществление сбора информации в области защиты населения и территорий от чрезвычайных ситуаций и обмен такой информацией.</t>
  </si>
  <si>
    <t>Количество органов повседневного управления Снежинского звена РСЧС:
- единая дежурно-диспетчерская служба Снежинского городского округа (ЕДДС г.Снежинска)</t>
  </si>
  <si>
    <t>Осуществление мероприятий по обеспечению безопасности людей на водных объектах, охране их жизни и здоровья.</t>
  </si>
  <si>
    <t>Количество планов мероприятий по охране жизни и здоровья людей, предупреждению чрезвычайных ситуаций и ликвидации их последствий на водных объектах, расположенных в границах ЗАТО г. Снежинск</t>
  </si>
  <si>
    <t>Обеспечение эксплуатации и развития системы обеспечения вызова экстренных оперативных служб по единому номеру «112».</t>
  </si>
  <si>
    <r>
      <t>Организация и выполнение проектно-</t>
    </r>
    <r>
      <rPr>
        <sz val="10"/>
        <color indexed="8"/>
        <rFont val="Times New Roman"/>
        <family val="1"/>
      </rPr>
      <t>изыскательских и</t>
    </r>
    <r>
      <rPr>
        <sz val="10"/>
        <rFont val="Times New Roman"/>
        <family val="1"/>
      </rPr>
      <t xml:space="preserve"> строительных работ (эллинги)</t>
    </r>
    <r>
      <rPr>
        <sz val="10"/>
        <color indexed="63"/>
        <rFont val="Times New Roman"/>
        <family val="1"/>
      </rPr>
      <t>.</t>
    </r>
  </si>
  <si>
    <t xml:space="preserve">Содержание и ремонт имущества в исправном состоянии </t>
  </si>
  <si>
    <t>Протяженность отремонтированных автодорог (ремонт асфальтобетонного покрытия)</t>
  </si>
  <si>
    <t>Без учета кредиторской задолженности за декабрь 2018 года</t>
  </si>
  <si>
    <t xml:space="preserve">Без учета кредиторской задолженности за декабрь 2018 года   </t>
  </si>
  <si>
    <t>Транспортировка тел умерших с места смерти до ПАК ЦМСЧ-15, проведение гражданской панихиды, предоставление катафалка, содержание кладбищ (МКУ "Ритуал")</t>
  </si>
  <si>
    <t>Количество тел, транспортированных от зала траурных обрядов до кладбища</t>
  </si>
  <si>
    <t>Количество, обслуживаемых  контейнерных площадок для сбора ТБО</t>
  </si>
  <si>
    <t>Доля отчисленных с этапов подготовки от общего количества обучающихся и спортсменов в ДЮСШ и СШОР</t>
  </si>
  <si>
    <t>Соотношение количества масовых спортивных разрядов, присвоенных учащимся и спортсменам ДЮСШ и СШОР, к общему количеству занимающихся</t>
  </si>
  <si>
    <t>Количество педагогических работников, которым выплачивается денежное поощрение за счет средств местного бюджета</t>
  </si>
  <si>
    <t>Оказание услуг по перевозке призывников на областной сборный пункт, авто-часов</t>
  </si>
  <si>
    <t>Количество зарегистрированных преступлений</t>
  </si>
  <si>
    <t>Количество преступлений, совершенных в общественных местах</t>
  </si>
  <si>
    <t>Количество преступлений, совершенных лицами, находящимися в состоянии опьянения</t>
  </si>
  <si>
    <t>Количество преступлений, совершенных                                 несовершеннолетними</t>
  </si>
  <si>
    <t xml:space="preserve">8. Муниципальная Программа  "Социальная поддержка жителей  Снежинского городского округа" на 2019 - 2024 гг. , Подпрограмма 2 "Предоставление дополнительных мер социальной поддержки отдельным категориям граждан (местные полномочия) </t>
  </si>
  <si>
    <t>Всего по Программе 5</t>
  </si>
  <si>
    <t xml:space="preserve">Количество проведенных мероприятий, связанных с проектной деятельностью молодежи (грантовые конкурсы, семинары, тренинги, форумы) </t>
  </si>
  <si>
    <t>Доля выполненных ремонтов в зданиях муниципальных организациях отдыха и оздоровления детей в общем количестве зданий муниципальных организациях отдыха и оздоровления детей, запланированных к проведению ремонта в текущем году</t>
  </si>
  <si>
    <t>Результат проведения разъяснительной работы с родителями детей- инвалидов</t>
  </si>
  <si>
    <t>Доля образовательных организаций, в которых созданы условия для получения детьми-инвалидами качественного образования, в общем количестве образовательных организаций</t>
  </si>
  <si>
    <t>Доля приоритетных объектов в сфере дошкольного образования, в которых создана универсальная безбарьерная среда для инклюзивного образования инвалидов, в общем количестве приоритетных объектов в сфере дошкольного образования</t>
  </si>
  <si>
    <t>Количество подведомственных Управлению образования учреждений</t>
  </si>
  <si>
    <t>Количество организаций-участников городского конкурса «Инновации в общем образовании»</t>
  </si>
  <si>
    <t>Итого по Программе 3.</t>
  </si>
  <si>
    <t>Предоставление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</si>
  <si>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</si>
  <si>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Оказание материальной (единов-ременной,адресной, социальной) помощи отдельным категориям граждан</t>
  </si>
  <si>
    <t xml:space="preserve"> заявительный характер выплат, выплаты произведены по факту обращений</t>
  </si>
  <si>
    <t>Итого по Задаче 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</si>
</sst>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_-* #,##0.0_р_._-;\-* #,##0.0_р_._-;_-* &quot;-&quot;??_р_._-;_-@_-"/>
    <numFmt numFmtId="188" formatCode="#,##0.000_ ;\-#,##0.000\ "/>
    <numFmt numFmtId="189" formatCode="0.0%"/>
    <numFmt numFmtId="190" formatCode="#,##0.0"/>
    <numFmt numFmtId="191" formatCode="_-* #,##0_р_._-;\-* #,##0_р_._-;_-* &quot;-&quot;??_р_._-;_-@_-"/>
    <numFmt numFmtId="192" formatCode="_-* #,##0.0000_р_._-;\-* #,##0.0000_р_._-;_-* &quot;-&quot;??_р_._-;_-@_-"/>
    <numFmt numFmtId="193" formatCode="#,##0.00_р_."/>
    <numFmt numFmtId="194" formatCode="#,##0.0000"/>
    <numFmt numFmtId="195" formatCode="?"/>
    <numFmt numFmtId="196" formatCode="0.0"/>
    <numFmt numFmtId="197" formatCode="#,##0.00000"/>
    <numFmt numFmtId="198" formatCode="0.0000"/>
    <numFmt numFmtId="199" formatCode="[$-FC19]d\ mmmm\ yyyy\ &quot;г.&quot;"/>
    <numFmt numFmtId="200" formatCode="0.00000000"/>
    <numFmt numFmtId="201" formatCode="0.0000000"/>
    <numFmt numFmtId="202" formatCode="0.000000"/>
    <numFmt numFmtId="203" formatCode="0.00000"/>
    <numFmt numFmtId="204" formatCode="#,##0.00_ ;\-#,##0.00\ "/>
    <numFmt numFmtId="205" formatCode="#,##0.00\ _₽"/>
    <numFmt numFmtId="206" formatCode="0.0000000000"/>
    <numFmt numFmtId="207" formatCode="0.000000000"/>
    <numFmt numFmtId="208" formatCode="0.0000E+00"/>
    <numFmt numFmtId="209" formatCode="0.000E+00"/>
    <numFmt numFmtId="210" formatCode="0.0E+00"/>
    <numFmt numFmtId="211" formatCode="0E+00"/>
    <numFmt numFmtId="212" formatCode="_-* #,##0.000_р_._-;\-* #,##0.000_р_._-;_-* &quot;-&quot;??_р_._-;_-@_-"/>
    <numFmt numFmtId="213" formatCode="_-* #,##0.00000_р_._-;\-* #,##0.0000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Arial Cyr"/>
      <family val="0"/>
    </font>
    <font>
      <b/>
      <i/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color indexed="6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vertAlign val="subscript"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9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524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180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62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87" fontId="5" fillId="0" borderId="10" xfId="62" applyNumberFormat="1" applyFont="1" applyFill="1" applyBorder="1" applyAlignment="1">
      <alignment horizontal="left" vertical="center" wrapText="1"/>
    </xf>
    <xf numFmtId="186" fontId="5" fillId="0" borderId="10" xfId="62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 vertical="top"/>
    </xf>
    <xf numFmtId="2" fontId="5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/>
    </xf>
    <xf numFmtId="0" fontId="7" fillId="4" borderId="10" xfId="0" applyFont="1" applyFill="1" applyBorder="1" applyAlignment="1">
      <alignment vertical="top" wrapText="1"/>
    </xf>
    <xf numFmtId="180" fontId="3" fillId="18" borderId="10" xfId="0" applyNumberFormat="1" applyFont="1" applyFill="1" applyBorder="1" applyAlignment="1">
      <alignment horizontal="center" vertical="top" wrapText="1"/>
    </xf>
    <xf numFmtId="4" fontId="3" fillId="18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18" borderId="10" xfId="0" applyFont="1" applyFill="1" applyBorder="1" applyAlignment="1">
      <alignment horizontal="center" vertical="top" wrapText="1"/>
    </xf>
    <xf numFmtId="2" fontId="3" fillId="18" borderId="10" xfId="0" applyNumberFormat="1" applyFont="1" applyFill="1" applyBorder="1" applyAlignment="1">
      <alignment horizontal="center" vertical="top" wrapText="1"/>
    </xf>
    <xf numFmtId="18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180" fontId="5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80" fontId="3" fillId="4" borderId="10" xfId="0" applyNumberFormat="1" applyFont="1" applyFill="1" applyBorder="1" applyAlignment="1">
      <alignment horizontal="center" vertical="top" wrapText="1"/>
    </xf>
    <xf numFmtId="4" fontId="3" fillId="4" borderId="10" xfId="0" applyNumberFormat="1" applyFont="1" applyFill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185" fontId="5" fillId="4" borderId="10" xfId="0" applyNumberFormat="1" applyFont="1" applyFill="1" applyBorder="1" applyAlignment="1">
      <alignment horizontal="center" vertical="center" wrapText="1"/>
    </xf>
    <xf numFmtId="193" fontId="5" fillId="4" borderId="10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190" fontId="5" fillId="4" borderId="10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185" fontId="5" fillId="4" borderId="10" xfId="0" applyNumberFormat="1" applyFont="1" applyFill="1" applyBorder="1" applyAlignment="1">
      <alignment horizontal="center" vertical="center"/>
    </xf>
    <xf numFmtId="180" fontId="5" fillId="4" borderId="10" xfId="54" applyNumberFormat="1" applyFont="1" applyFill="1" applyBorder="1" applyAlignment="1">
      <alignment horizontal="center" vertical="center"/>
      <protection/>
    </xf>
    <xf numFmtId="1" fontId="5" fillId="4" borderId="10" xfId="0" applyNumberFormat="1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4" fontId="5" fillId="4" borderId="10" xfId="0" applyNumberFormat="1" applyFont="1" applyFill="1" applyBorder="1" applyAlignment="1">
      <alignment horizontal="center" vertical="top" wrapText="1"/>
    </xf>
    <xf numFmtId="190" fontId="3" fillId="4" borderId="10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196" fontId="5" fillId="4" borderId="10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horizontal="right" vertical="top" wrapText="1"/>
    </xf>
    <xf numFmtId="0" fontId="0" fillId="4" borderId="10" xfId="0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/>
    </xf>
    <xf numFmtId="180" fontId="5" fillId="4" borderId="10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center" vertical="top"/>
    </xf>
    <xf numFmtId="185" fontId="5" fillId="4" borderId="10" xfId="0" applyNumberFormat="1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vertical="top"/>
    </xf>
    <xf numFmtId="180" fontId="5" fillId="4" borderId="10" xfId="0" applyNumberFormat="1" applyFont="1" applyFill="1" applyBorder="1" applyAlignment="1">
      <alignment horizontal="center" vertical="top"/>
    </xf>
    <xf numFmtId="185" fontId="5" fillId="4" borderId="10" xfId="0" applyNumberFormat="1" applyFont="1" applyFill="1" applyBorder="1" applyAlignment="1">
      <alignment vertical="top"/>
    </xf>
    <xf numFmtId="0" fontId="14" fillId="4" borderId="10" xfId="0" applyFont="1" applyFill="1" applyBorder="1" applyAlignment="1">
      <alignment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center" vertical="top"/>
    </xf>
    <xf numFmtId="185" fontId="5" fillId="4" borderId="10" xfId="0" applyNumberFormat="1" applyFont="1" applyFill="1" applyBorder="1" applyAlignment="1">
      <alignment horizontal="center" vertical="top"/>
    </xf>
    <xf numFmtId="180" fontId="5" fillId="4" borderId="10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85" fontId="5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185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180" fontId="5" fillId="4" borderId="10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85" fontId="3" fillId="4" borderId="10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horizontal="center" vertical="top"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88" fontId="5" fillId="0" borderId="10" xfId="62" applyNumberFormat="1" applyFont="1" applyFill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80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9" fontId="3" fillId="0" borderId="10" xfId="59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180" fontId="3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185" fontId="11" fillId="0" borderId="10" xfId="53" applyNumberFormat="1" applyFont="1" applyFill="1" applyBorder="1" applyAlignment="1">
      <alignment vertical="center" wrapText="1"/>
      <protection/>
    </xf>
    <xf numFmtId="4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11" fillId="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85" fontId="11" fillId="0" borderId="10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vertical="top" wrapText="1"/>
    </xf>
    <xf numFmtId="2" fontId="11" fillId="4" borderId="10" xfId="0" applyNumberFormat="1" applyFont="1" applyFill="1" applyBorder="1" applyAlignment="1">
      <alignment horizontal="center" vertical="top"/>
    </xf>
    <xf numFmtId="180" fontId="11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0" fontId="5" fillId="4" borderId="10" xfId="0" applyNumberFormat="1" applyFont="1" applyFill="1" applyBorder="1" applyAlignment="1">
      <alignment horizontal="center" vertical="top"/>
    </xf>
    <xf numFmtId="0" fontId="12" fillId="4" borderId="10" xfId="0" applyFont="1" applyFill="1" applyBorder="1" applyAlignment="1">
      <alignment horizontal="left" vertical="top" wrapText="1"/>
    </xf>
    <xf numFmtId="190" fontId="5" fillId="4" borderId="10" xfId="0" applyNumberFormat="1" applyFont="1" applyFill="1" applyBorder="1" applyAlignment="1">
      <alignment horizontal="center" vertical="top"/>
    </xf>
    <xf numFmtId="185" fontId="5" fillId="4" borderId="10" xfId="0" applyNumberFormat="1" applyFont="1" applyFill="1" applyBorder="1" applyAlignment="1">
      <alignment horizontal="left" vertical="top"/>
    </xf>
    <xf numFmtId="4" fontId="5" fillId="4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185" fontId="5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top" wrapText="1"/>
    </xf>
    <xf numFmtId="190" fontId="5" fillId="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top"/>
    </xf>
    <xf numFmtId="0" fontId="11" fillId="4" borderId="10" xfId="0" applyNumberFormat="1" applyFont="1" applyFill="1" applyBorder="1" applyAlignment="1">
      <alignment horizontal="center" vertical="top"/>
    </xf>
    <xf numFmtId="0" fontId="16" fillId="4" borderId="10" xfId="0" applyFont="1" applyFill="1" applyBorder="1" applyAlignment="1">
      <alignment/>
    </xf>
    <xf numFmtId="4" fontId="13" fillId="4" borderId="10" xfId="0" applyNumberFormat="1" applyFont="1" applyFill="1" applyBorder="1" applyAlignment="1">
      <alignment vertical="top"/>
    </xf>
    <xf numFmtId="185" fontId="13" fillId="4" borderId="10" xfId="0" applyNumberFormat="1" applyFont="1" applyFill="1" applyBorder="1" applyAlignment="1">
      <alignment vertical="top"/>
    </xf>
    <xf numFmtId="4" fontId="13" fillId="4" borderId="10" xfId="0" applyNumberFormat="1" applyFont="1" applyFill="1" applyBorder="1" applyAlignment="1">
      <alignment horizontal="center" vertical="top"/>
    </xf>
    <xf numFmtId="185" fontId="13" fillId="4" borderId="10" xfId="0" applyNumberFormat="1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horizontal="center" vertical="top" wrapText="1"/>
    </xf>
    <xf numFmtId="2" fontId="17" fillId="4" borderId="10" xfId="0" applyNumberFormat="1" applyFont="1" applyFill="1" applyBorder="1" applyAlignment="1">
      <alignment horizontal="center" vertical="top"/>
    </xf>
    <xf numFmtId="180" fontId="17" fillId="4" borderId="10" xfId="0" applyNumberFormat="1" applyFont="1" applyFill="1" applyBorder="1" applyAlignment="1">
      <alignment horizontal="center" vertical="top"/>
    </xf>
    <xf numFmtId="180" fontId="3" fillId="4" borderId="10" xfId="0" applyNumberFormat="1" applyFont="1" applyFill="1" applyBorder="1" applyAlignment="1">
      <alignment horizontal="center" vertical="top"/>
    </xf>
    <xf numFmtId="190" fontId="11" fillId="4" borderId="10" xfId="0" applyNumberFormat="1" applyFont="1" applyFill="1" applyBorder="1" applyAlignment="1">
      <alignment horizontal="center" vertical="top"/>
    </xf>
    <xf numFmtId="4" fontId="11" fillId="4" borderId="10" xfId="0" applyNumberFormat="1" applyFont="1" applyFill="1" applyBorder="1" applyAlignment="1">
      <alignment horizontal="center" vertical="top"/>
    </xf>
    <xf numFmtId="185" fontId="11" fillId="4" borderId="10" xfId="0" applyNumberFormat="1" applyFont="1" applyFill="1" applyBorder="1" applyAlignment="1">
      <alignment horizontal="center" vertical="top"/>
    </xf>
    <xf numFmtId="180" fontId="5" fillId="4" borderId="10" xfId="0" applyNumberFormat="1" applyFont="1" applyFill="1" applyBorder="1" applyAlignment="1">
      <alignment horizontal="center" vertical="top"/>
    </xf>
    <xf numFmtId="190" fontId="5" fillId="4" borderId="10" xfId="0" applyNumberFormat="1" applyFont="1" applyFill="1" applyBorder="1" applyAlignment="1">
      <alignment horizontal="center" vertical="top" wrapText="1"/>
    </xf>
    <xf numFmtId="0" fontId="0" fillId="4" borderId="10" xfId="0" applyFill="1" applyBorder="1" applyAlignment="1">
      <alignment vertical="top" wrapText="1"/>
    </xf>
    <xf numFmtId="4" fontId="17" fillId="4" borderId="10" xfId="0" applyNumberFormat="1" applyFont="1" applyFill="1" applyBorder="1" applyAlignment="1">
      <alignment horizontal="center" vertical="top"/>
    </xf>
    <xf numFmtId="185" fontId="17" fillId="4" borderId="10" xfId="0" applyNumberFormat="1" applyFont="1" applyFill="1" applyBorder="1" applyAlignment="1">
      <alignment horizontal="center" vertical="top"/>
    </xf>
    <xf numFmtId="185" fontId="3" fillId="4" borderId="10" xfId="0" applyNumberFormat="1" applyFont="1" applyFill="1" applyBorder="1" applyAlignment="1">
      <alignment horizontal="center" vertical="top"/>
    </xf>
    <xf numFmtId="4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194" fontId="5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top"/>
    </xf>
    <xf numFmtId="2" fontId="3" fillId="4" borderId="10" xfId="0" applyNumberFormat="1" applyFont="1" applyFill="1" applyBorder="1" applyAlignment="1">
      <alignment horizontal="center" vertical="top"/>
    </xf>
    <xf numFmtId="190" fontId="3" fillId="4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/>
    </xf>
    <xf numFmtId="4" fontId="17" fillId="4" borderId="10" xfId="0" applyNumberFormat="1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vertical="top" wrapText="1"/>
    </xf>
    <xf numFmtId="4" fontId="17" fillId="4" borderId="10" xfId="0" applyNumberFormat="1" applyFont="1" applyFill="1" applyBorder="1" applyAlignment="1">
      <alignment horizontal="center" vertical="center" wrapText="1"/>
    </xf>
    <xf numFmtId="4" fontId="17" fillId="4" borderId="10" xfId="0" applyNumberFormat="1" applyFont="1" applyFill="1" applyBorder="1" applyAlignment="1">
      <alignment horizontal="center" vertical="center"/>
    </xf>
    <xf numFmtId="185" fontId="17" fillId="4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horizontal="right" vertical="center" wrapText="1"/>
    </xf>
    <xf numFmtId="180" fontId="3" fillId="4" borderId="10" xfId="0" applyNumberFormat="1" applyFont="1" applyFill="1" applyBorder="1" applyAlignment="1">
      <alignment horizontal="center" vertical="center"/>
    </xf>
    <xf numFmtId="180" fontId="3" fillId="4" borderId="10" xfId="54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185" fontId="5" fillId="0" borderId="10" xfId="54" applyNumberFormat="1" applyFont="1" applyFill="1" applyBorder="1" applyAlignment="1">
      <alignment horizontal="center" vertical="center"/>
      <protection/>
    </xf>
    <xf numFmtId="185" fontId="3" fillId="0" borderId="10" xfId="54" applyNumberFormat="1" applyFont="1" applyFill="1" applyBorder="1" applyAlignment="1">
      <alignment horizontal="center" vertical="center"/>
      <protection/>
    </xf>
    <xf numFmtId="0" fontId="15" fillId="4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center"/>
    </xf>
    <xf numFmtId="180" fontId="11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center"/>
    </xf>
    <xf numFmtId="185" fontId="17" fillId="4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 vertical="center"/>
    </xf>
    <xf numFmtId="180" fontId="5" fillId="4" borderId="10" xfId="53" applyNumberFormat="1" applyFont="1" applyFill="1" applyBorder="1" applyAlignment="1">
      <alignment horizontal="center" vertical="center" wrapText="1"/>
      <protection/>
    </xf>
    <xf numFmtId="4" fontId="5" fillId="4" borderId="10" xfId="53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3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4" fontId="3" fillId="7" borderId="10" xfId="0" applyNumberFormat="1" applyFont="1" applyFill="1" applyBorder="1" applyAlignment="1">
      <alignment horizontal="center" vertical="center" wrapText="1"/>
    </xf>
    <xf numFmtId="180" fontId="3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top" wrapText="1"/>
    </xf>
    <xf numFmtId="180" fontId="3" fillId="7" borderId="10" xfId="0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left" vertical="top" wrapText="1"/>
    </xf>
    <xf numFmtId="190" fontId="3" fillId="7" borderId="10" xfId="0" applyNumberFormat="1" applyFont="1" applyFill="1" applyBorder="1" applyAlignment="1">
      <alignment horizontal="center" vertical="top" wrapText="1"/>
    </xf>
    <xf numFmtId="4" fontId="17" fillId="7" borderId="10" xfId="0" applyNumberFormat="1" applyFont="1" applyFill="1" applyBorder="1" applyAlignment="1">
      <alignment horizontal="center" vertical="top"/>
    </xf>
    <xf numFmtId="185" fontId="17" fillId="7" borderId="10" xfId="0" applyNumberFormat="1" applyFont="1" applyFill="1" applyBorder="1" applyAlignment="1">
      <alignment horizontal="center" vertical="top"/>
    </xf>
    <xf numFmtId="185" fontId="3" fillId="7" borderId="10" xfId="0" applyNumberFormat="1" applyFont="1" applyFill="1" applyBorder="1" applyAlignment="1">
      <alignment horizontal="center" vertical="top"/>
    </xf>
    <xf numFmtId="0" fontId="3" fillId="7" borderId="10" xfId="53" applyFont="1" applyFill="1" applyBorder="1" applyAlignment="1">
      <alignment horizontal="left" vertical="center" wrapText="1"/>
      <protection/>
    </xf>
    <xf numFmtId="4" fontId="3" fillId="7" borderId="10" xfId="53" applyNumberFormat="1" applyFont="1" applyFill="1" applyBorder="1" applyAlignment="1">
      <alignment horizontal="center" vertical="center" wrapText="1"/>
      <protection/>
    </xf>
    <xf numFmtId="180" fontId="3" fillId="7" borderId="10" xfId="53" applyNumberFormat="1" applyFont="1" applyFill="1" applyBorder="1" applyAlignment="1">
      <alignment horizontal="center" vertical="center" wrapText="1"/>
      <protection/>
    </xf>
    <xf numFmtId="180" fontId="3" fillId="7" borderId="10" xfId="0" applyNumberFormat="1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wrapText="1"/>
    </xf>
    <xf numFmtId="180" fontId="3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center"/>
    </xf>
    <xf numFmtId="185" fontId="3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0" fontId="3" fillId="18" borderId="10" xfId="0" applyNumberFormat="1" applyFont="1" applyFill="1" applyBorder="1" applyAlignment="1">
      <alignment horizontal="center" vertical="top" wrapText="1"/>
    </xf>
    <xf numFmtId="4" fontId="3" fillId="18" borderId="10" xfId="0" applyNumberFormat="1" applyFont="1" applyFill="1" applyBorder="1" applyAlignment="1">
      <alignment horizontal="center" vertical="top"/>
    </xf>
    <xf numFmtId="185" fontId="3" fillId="18" borderId="10" xfId="0" applyNumberFormat="1" applyFont="1" applyFill="1" applyBorder="1" applyAlignment="1">
      <alignment horizontal="center" vertical="top"/>
    </xf>
    <xf numFmtId="49" fontId="3" fillId="18" borderId="10" xfId="54" applyNumberFormat="1" applyFont="1" applyFill="1" applyBorder="1" applyAlignment="1">
      <alignment horizontal="left" vertical="center"/>
      <protection/>
    </xf>
    <xf numFmtId="180" fontId="3" fillId="18" borderId="10" xfId="54" applyNumberFormat="1" applyFont="1" applyFill="1" applyBorder="1" applyAlignment="1">
      <alignment horizontal="center" vertical="center"/>
      <protection/>
    </xf>
    <xf numFmtId="180" fontId="3" fillId="18" borderId="10" xfId="0" applyNumberFormat="1" applyFont="1" applyFill="1" applyBorder="1" applyAlignment="1">
      <alignment horizontal="center" vertical="center"/>
    </xf>
    <xf numFmtId="4" fontId="3" fillId="18" borderId="10" xfId="0" applyNumberFormat="1" applyFont="1" applyFill="1" applyBorder="1" applyAlignment="1">
      <alignment horizontal="center" vertical="center"/>
    </xf>
    <xf numFmtId="3" fontId="3" fillId="18" borderId="10" xfId="54" applyNumberFormat="1" applyFont="1" applyFill="1" applyBorder="1" applyAlignment="1">
      <alignment horizontal="center" vertical="center"/>
      <protection/>
    </xf>
    <xf numFmtId="0" fontId="3" fillId="18" borderId="10" xfId="0" applyFont="1" applyFill="1" applyBorder="1" applyAlignment="1">
      <alignment horizontal="center" vertical="center" wrapText="1"/>
    </xf>
    <xf numFmtId="180" fontId="3" fillId="18" borderId="10" xfId="53" applyNumberFormat="1" applyFont="1" applyFill="1" applyBorder="1" applyAlignment="1">
      <alignment horizontal="center" vertical="center" wrapText="1"/>
      <protection/>
    </xf>
    <xf numFmtId="4" fontId="3" fillId="18" borderId="10" xfId="53" applyNumberFormat="1" applyFont="1" applyFill="1" applyBorder="1" applyAlignment="1">
      <alignment horizontal="center" vertical="center" wrapText="1"/>
      <protection/>
    </xf>
    <xf numFmtId="2" fontId="3" fillId="18" borderId="10" xfId="0" applyNumberFormat="1" applyFont="1" applyFill="1" applyBorder="1" applyAlignment="1">
      <alignment horizontal="center" vertical="center" wrapText="1"/>
    </xf>
    <xf numFmtId="180" fontId="3" fillId="18" borderId="10" xfId="0" applyNumberFormat="1" applyFont="1" applyFill="1" applyBorder="1" applyAlignment="1">
      <alignment horizontal="center" vertical="top"/>
    </xf>
    <xf numFmtId="4" fontId="3" fillId="18" borderId="10" xfId="0" applyNumberFormat="1" applyFont="1" applyFill="1" applyBorder="1" applyAlignment="1">
      <alignment horizontal="left" vertical="top"/>
    </xf>
    <xf numFmtId="0" fontId="3" fillId="18" borderId="10" xfId="0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3" fontId="22" fillId="0" borderId="10" xfId="53" applyNumberFormat="1" applyFont="1" applyBorder="1" applyAlignment="1">
      <alignment horizontal="center" vertical="top" wrapText="1"/>
      <protection/>
    </xf>
    <xf numFmtId="185" fontId="5" fillId="4" borderId="10" xfId="0" applyNumberFormat="1" applyFont="1" applyFill="1" applyBorder="1" applyAlignment="1">
      <alignment horizontal="center" vertical="top" wrapText="1"/>
    </xf>
    <xf numFmtId="198" fontId="5" fillId="4" borderId="10" xfId="0" applyNumberFormat="1" applyFont="1" applyFill="1" applyBorder="1" applyAlignment="1">
      <alignment horizontal="center" vertical="top" wrapText="1"/>
    </xf>
    <xf numFmtId="196" fontId="3" fillId="18" borderId="10" xfId="0" applyNumberFormat="1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vertical="center" wrapText="1"/>
    </xf>
    <xf numFmtId="203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Continuous" vertical="center" wrapText="1"/>
    </xf>
    <xf numFmtId="4" fontId="15" fillId="4" borderId="10" xfId="0" applyNumberFormat="1" applyFont="1" applyFill="1" applyBorder="1" applyAlignment="1">
      <alignment horizontal="center"/>
    </xf>
    <xf numFmtId="180" fontId="17" fillId="4" borderId="10" xfId="0" applyNumberFormat="1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left" vertical="top" wrapText="1"/>
    </xf>
    <xf numFmtId="185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80" fontId="32" fillId="0" borderId="10" xfId="54" applyNumberFormat="1" applyFont="1" applyBorder="1" applyAlignment="1">
      <alignment horizontal="right" vertical="top"/>
      <protection/>
    </xf>
    <xf numFmtId="3" fontId="7" fillId="0" borderId="10" xfId="53" applyNumberFormat="1" applyFont="1" applyBorder="1" applyAlignment="1">
      <alignment horizontal="center" vertical="top" wrapText="1"/>
      <protection/>
    </xf>
    <xf numFmtId="3" fontId="4" fillId="0" borderId="10" xfId="53" applyNumberFormat="1" applyFont="1" applyFill="1" applyBorder="1" applyAlignment="1">
      <alignment horizontal="center" vertical="top" wrapText="1"/>
      <protection/>
    </xf>
    <xf numFmtId="0" fontId="3" fillId="18" borderId="10" xfId="0" applyFont="1" applyFill="1" applyBorder="1" applyAlignment="1">
      <alignment horizontal="left" vertical="center"/>
    </xf>
    <xf numFmtId="4" fontId="5" fillId="18" borderId="10" xfId="0" applyNumberFormat="1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horizontal="center" vertical="top" wrapText="1"/>
    </xf>
    <xf numFmtId="1" fontId="3" fillId="18" borderId="10" xfId="0" applyNumberFormat="1" applyFont="1" applyFill="1" applyBorder="1" applyAlignment="1">
      <alignment horizontal="center" vertical="top" wrapText="1"/>
    </xf>
    <xf numFmtId="185" fontId="3" fillId="1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96" fontId="3" fillId="4" borderId="10" xfId="0" applyNumberFormat="1" applyFont="1" applyFill="1" applyBorder="1" applyAlignment="1">
      <alignment horizontal="center" vertical="top" wrapText="1"/>
    </xf>
    <xf numFmtId="194" fontId="3" fillId="4" borderId="10" xfId="0" applyNumberFormat="1" applyFont="1" applyFill="1" applyBorder="1" applyAlignment="1">
      <alignment horizontal="center" vertical="top" wrapText="1"/>
    </xf>
    <xf numFmtId="194" fontId="5" fillId="4" borderId="10" xfId="0" applyNumberFormat="1" applyFont="1" applyFill="1" applyBorder="1" applyAlignment="1">
      <alignment horizontal="center" vertical="top" wrapText="1"/>
    </xf>
    <xf numFmtId="198" fontId="3" fillId="4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4" fontId="3" fillId="4" borderId="10" xfId="0" applyNumberFormat="1" applyFont="1" applyFill="1" applyBorder="1" applyAlignment="1">
      <alignment horizontal="center"/>
    </xf>
    <xf numFmtId="185" fontId="3" fillId="4" borderId="10" xfId="0" applyNumberFormat="1" applyFont="1" applyFill="1" applyBorder="1" applyAlignment="1">
      <alignment horizontal="center"/>
    </xf>
    <xf numFmtId="197" fontId="5" fillId="4" borderId="10" xfId="0" applyNumberFormat="1" applyFont="1" applyFill="1" applyBorder="1" applyAlignment="1">
      <alignment horizontal="center" vertical="top" wrapText="1"/>
    </xf>
    <xf numFmtId="0" fontId="5" fillId="0" borderId="10" xfId="53" applyFont="1" applyBorder="1" applyAlignment="1">
      <alignment vertical="top" wrapText="1"/>
      <protection/>
    </xf>
    <xf numFmtId="194" fontId="5" fillId="4" borderId="10" xfId="0" applyNumberFormat="1" applyFont="1" applyFill="1" applyBorder="1" applyAlignment="1">
      <alignment horizontal="center" vertical="center"/>
    </xf>
    <xf numFmtId="198" fontId="3" fillId="18" borderId="10" xfId="0" applyNumberFormat="1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vertical="top" wrapText="1"/>
    </xf>
    <xf numFmtId="0" fontId="3" fillId="8" borderId="10" xfId="0" applyFont="1" applyFill="1" applyBorder="1" applyAlignment="1">
      <alignment horizontal="center" vertical="top" wrapText="1"/>
    </xf>
    <xf numFmtId="180" fontId="3" fillId="8" borderId="10" xfId="0" applyNumberFormat="1" applyFont="1" applyFill="1" applyBorder="1" applyAlignment="1">
      <alignment horizontal="center" vertical="top" wrapText="1"/>
    </xf>
    <xf numFmtId="4" fontId="3" fillId="8" borderId="10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vertical="top"/>
    </xf>
    <xf numFmtId="4" fontId="4" fillId="0" borderId="10" xfId="0" applyNumberFormat="1" applyFont="1" applyBorder="1" applyAlignment="1">
      <alignment horizontal="left" vertical="center" wrapText="1"/>
    </xf>
    <xf numFmtId="4" fontId="3" fillId="18" borderId="10" xfId="0" applyNumberFormat="1" applyFont="1" applyFill="1" applyBorder="1" applyAlignment="1">
      <alignment vertical="top" wrapText="1"/>
    </xf>
    <xf numFmtId="4" fontId="5" fillId="4" borderId="10" xfId="62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wrapText="1"/>
    </xf>
    <xf numFmtId="188" fontId="5" fillId="4" borderId="10" xfId="62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0" fontId="23" fillId="4" borderId="10" xfId="0" applyFont="1" applyFill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194" fontId="3" fillId="4" borderId="10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vertical="top" wrapText="1"/>
    </xf>
    <xf numFmtId="0" fontId="28" fillId="8" borderId="10" xfId="0" applyFont="1" applyFill="1" applyBorder="1" applyAlignment="1">
      <alignment horizontal="center" vertical="top" wrapText="1"/>
    </xf>
    <xf numFmtId="180" fontId="28" fillId="8" borderId="10" xfId="0" applyNumberFormat="1" applyFont="1" applyFill="1" applyBorder="1" applyAlignment="1">
      <alignment horizontal="center" vertical="top" wrapText="1"/>
    </xf>
    <xf numFmtId="4" fontId="3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3" fontId="5" fillId="4" borderId="10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85" fontId="3" fillId="4" borderId="10" xfId="0" applyNumberFormat="1" applyFont="1" applyFill="1" applyBorder="1" applyAlignment="1">
      <alignment horizontal="center" vertical="top" wrapText="1"/>
    </xf>
    <xf numFmtId="185" fontId="3" fillId="4" borderId="10" xfId="0" applyNumberFormat="1" applyFont="1" applyFill="1" applyBorder="1" applyAlignment="1">
      <alignment horizontal="center" vertical="center" wrapText="1"/>
    </xf>
    <xf numFmtId="185" fontId="1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11" fillId="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180" fontId="5" fillId="8" borderId="10" xfId="0" applyNumberFormat="1" applyFont="1" applyFill="1" applyBorder="1" applyAlignment="1">
      <alignment horizontal="center" vertical="center" wrapText="1"/>
    </xf>
    <xf numFmtId="180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80" fontId="5" fillId="4" borderId="10" xfId="0" applyNumberFormat="1" applyFont="1" applyFill="1" applyBorder="1" applyAlignment="1">
      <alignment horizontal="center" vertical="top"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180" fontId="15" fillId="4" borderId="10" xfId="0" applyNumberFormat="1" applyFont="1" applyFill="1" applyBorder="1" applyAlignment="1">
      <alignment horizontal="center" vertical="top"/>
    </xf>
    <xf numFmtId="185" fontId="15" fillId="4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/>
    </xf>
    <xf numFmtId="2" fontId="3" fillId="7" borderId="10" xfId="0" applyNumberFormat="1" applyFont="1" applyFill="1" applyBorder="1" applyAlignment="1">
      <alignment horizontal="center" wrapText="1"/>
    </xf>
    <xf numFmtId="180" fontId="15" fillId="4" borderId="10" xfId="0" applyNumberFormat="1" applyFont="1" applyFill="1" applyBorder="1" applyAlignment="1">
      <alignment horizontal="center"/>
    </xf>
    <xf numFmtId="185" fontId="3" fillId="7" borderId="10" xfId="0" applyNumberFormat="1" applyFont="1" applyFill="1" applyBorder="1" applyAlignment="1">
      <alignment horizontal="center" wrapText="1"/>
    </xf>
    <xf numFmtId="180" fontId="17" fillId="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 vertical="top" wrapText="1"/>
    </xf>
    <xf numFmtId="2" fontId="3" fillId="7" borderId="10" xfId="0" applyNumberFormat="1" applyFont="1" applyFill="1" applyBorder="1" applyAlignment="1">
      <alignment horizontal="center" vertical="center" wrapText="1"/>
    </xf>
    <xf numFmtId="185" fontId="3" fillId="7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5" fillId="0" borderId="10" xfId="53" applyFont="1" applyBorder="1" applyAlignment="1">
      <alignment horizontal="center" vertical="top" wrapText="1"/>
      <protection/>
    </xf>
    <xf numFmtId="2" fontId="5" fillId="0" borderId="10" xfId="53" applyNumberFormat="1" applyFont="1" applyBorder="1" applyAlignment="1">
      <alignment horizontal="center" vertical="top" wrapText="1"/>
      <protection/>
    </xf>
    <xf numFmtId="3" fontId="5" fillId="0" borderId="10" xfId="53" applyNumberFormat="1" applyFont="1" applyBorder="1" applyAlignment="1">
      <alignment horizontal="center" vertical="top" wrapText="1"/>
      <protection/>
    </xf>
    <xf numFmtId="0" fontId="3" fillId="7" borderId="10" xfId="53" applyFont="1" applyFill="1" applyBorder="1" applyAlignment="1">
      <alignment horizontal="center" vertical="top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185" fontId="3" fillId="7" borderId="10" xfId="53" applyNumberFormat="1" applyFont="1" applyFill="1" applyBorder="1" applyAlignment="1">
      <alignment horizontal="center" vertical="top" wrapText="1"/>
      <protection/>
    </xf>
    <xf numFmtId="185" fontId="3" fillId="7" borderId="10" xfId="0" applyNumberFormat="1" applyFont="1" applyFill="1" applyBorder="1" applyAlignment="1">
      <alignment horizontal="center" vertical="top" wrapText="1"/>
    </xf>
    <xf numFmtId="180" fontId="3" fillId="8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vertical="top" wrapText="1"/>
    </xf>
    <xf numFmtId="197" fontId="5" fillId="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5" fillId="4" borderId="10" xfId="54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85" fontId="5" fillId="0" borderId="10" xfId="54" applyNumberFormat="1" applyFont="1" applyFill="1" applyBorder="1" applyAlignment="1">
      <alignment horizontal="center" vertical="center" wrapText="1"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185" fontId="3" fillId="0" borderId="10" xfId="54" applyNumberFormat="1" applyFont="1" applyFill="1" applyBorder="1" applyAlignment="1">
      <alignment horizontal="center" vertical="center" wrapText="1"/>
      <protection/>
    </xf>
    <xf numFmtId="49" fontId="5" fillId="4" borderId="10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top" wrapText="1"/>
    </xf>
    <xf numFmtId="4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18" borderId="10" xfId="0" applyNumberFormat="1" applyFont="1" applyFill="1" applyBorder="1" applyAlignment="1" applyProtection="1">
      <alignment horizontal="center" vertical="center" wrapText="1"/>
      <protection/>
    </xf>
    <xf numFmtId="203" fontId="5" fillId="0" borderId="10" xfId="54" applyNumberFormat="1" applyFont="1" applyFill="1" applyBorder="1" applyAlignment="1">
      <alignment horizontal="center" vertical="center" wrapText="1"/>
      <protection/>
    </xf>
    <xf numFmtId="198" fontId="5" fillId="0" borderId="10" xfId="54" applyNumberFormat="1" applyFont="1" applyFill="1" applyBorder="1" applyAlignment="1">
      <alignment horizontal="center" vertical="center" wrapText="1"/>
      <protection/>
    </xf>
    <xf numFmtId="185" fontId="5" fillId="4" borderId="10" xfId="54" applyNumberFormat="1" applyFont="1" applyFill="1" applyBorder="1" applyAlignment="1">
      <alignment horizontal="center" vertical="center" wrapText="1"/>
      <protection/>
    </xf>
    <xf numFmtId="198" fontId="5" fillId="4" borderId="10" xfId="54" applyNumberFormat="1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4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197" fontId="3" fillId="0" borderId="10" xfId="0" applyNumberFormat="1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/>
    </xf>
    <xf numFmtId="0" fontId="3" fillId="17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зультаты оценки эффективност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0"/>
  <sheetViews>
    <sheetView tabSelected="1" zoomScale="120" zoomScaleNormal="120" zoomScalePageLayoutView="0" workbookViewId="0" topLeftCell="A118">
      <selection activeCell="A162" sqref="A162"/>
    </sheetView>
  </sheetViews>
  <sheetFormatPr defaultColWidth="9.00390625" defaultRowHeight="12.75"/>
  <cols>
    <col min="1" max="1" width="36.375" style="52" customWidth="1"/>
    <col min="2" max="2" width="12.00390625" style="52" customWidth="1"/>
    <col min="3" max="3" width="12.75390625" style="52" customWidth="1"/>
    <col min="4" max="4" width="10.75390625" style="52" customWidth="1"/>
    <col min="5" max="5" width="10.25390625" style="52" customWidth="1"/>
    <col min="6" max="6" width="14.625" style="52" customWidth="1"/>
    <col min="7" max="7" width="15.00390625" style="52" customWidth="1"/>
    <col min="8" max="8" width="14.75390625" style="52" customWidth="1"/>
    <col min="9" max="9" width="12.875" style="52" customWidth="1"/>
    <col min="10" max="10" width="20.875" style="52" customWidth="1"/>
    <col min="11" max="16384" width="9.125" style="52" customWidth="1"/>
  </cols>
  <sheetData>
    <row r="1" spans="1:10" ht="15.75" customHeight="1">
      <c r="A1" s="495" t="s">
        <v>175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ht="18.7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</row>
    <row r="3" spans="1:10" ht="39.75" customHeight="1">
      <c r="A3" s="497" t="s">
        <v>90</v>
      </c>
      <c r="B3" s="497" t="s">
        <v>107</v>
      </c>
      <c r="C3" s="497"/>
      <c r="D3" s="497"/>
      <c r="E3" s="497" t="s">
        <v>94</v>
      </c>
      <c r="F3" s="497" t="s">
        <v>104</v>
      </c>
      <c r="G3" s="497"/>
      <c r="H3" s="497" t="s">
        <v>95</v>
      </c>
      <c r="I3" s="497" t="s">
        <v>96</v>
      </c>
      <c r="J3" s="497" t="s">
        <v>103</v>
      </c>
    </row>
    <row r="4" spans="1:10" ht="27.75" customHeight="1">
      <c r="A4" s="497"/>
      <c r="B4" s="6" t="s">
        <v>91</v>
      </c>
      <c r="C4" s="6" t="s">
        <v>92</v>
      </c>
      <c r="D4" s="6" t="s">
        <v>93</v>
      </c>
      <c r="E4" s="497"/>
      <c r="F4" s="6" t="s">
        <v>91</v>
      </c>
      <c r="G4" s="6" t="s">
        <v>92</v>
      </c>
      <c r="H4" s="497"/>
      <c r="I4" s="497"/>
      <c r="J4" s="497"/>
    </row>
    <row r="5" spans="1:10" ht="12.75">
      <c r="A5" s="6">
        <v>1</v>
      </c>
      <c r="B5" s="6">
        <v>2</v>
      </c>
      <c r="C5" s="6">
        <v>3</v>
      </c>
      <c r="D5" s="6" t="s">
        <v>98</v>
      </c>
      <c r="E5" s="6" t="s">
        <v>99</v>
      </c>
      <c r="F5" s="6">
        <v>6</v>
      </c>
      <c r="G5" s="6">
        <v>7</v>
      </c>
      <c r="H5" s="6" t="s">
        <v>105</v>
      </c>
      <c r="I5" s="6" t="s">
        <v>100</v>
      </c>
      <c r="J5" s="6">
        <v>10</v>
      </c>
    </row>
    <row r="6" spans="1:10" ht="15" customHeight="1">
      <c r="A6" s="501" t="s">
        <v>97</v>
      </c>
      <c r="B6" s="501"/>
      <c r="C6" s="501"/>
      <c r="D6" s="501"/>
      <c r="E6" s="501"/>
      <c r="F6" s="501"/>
      <c r="G6" s="501"/>
      <c r="H6" s="501"/>
      <c r="I6" s="501"/>
      <c r="J6" s="501"/>
    </row>
    <row r="7" spans="1:10" ht="12.75">
      <c r="A7" s="520" t="s">
        <v>108</v>
      </c>
      <c r="B7" s="520"/>
      <c r="C7" s="520"/>
      <c r="D7" s="520"/>
      <c r="E7" s="520"/>
      <c r="F7" s="520"/>
      <c r="G7" s="520"/>
      <c r="H7" s="520"/>
      <c r="I7" s="520"/>
      <c r="J7" s="520"/>
    </row>
    <row r="8" spans="1:10" ht="12.75">
      <c r="A8" s="4" t="s">
        <v>244</v>
      </c>
      <c r="B8" s="1"/>
      <c r="C8" s="1"/>
      <c r="D8" s="1"/>
      <c r="E8" s="449"/>
      <c r="F8" s="14"/>
      <c r="G8" s="14"/>
      <c r="H8" s="449"/>
      <c r="I8" s="449"/>
      <c r="J8" s="1"/>
    </row>
    <row r="9" spans="1:10" ht="41.25" customHeight="1">
      <c r="A9" s="1" t="s">
        <v>110</v>
      </c>
      <c r="B9" s="75">
        <v>24</v>
      </c>
      <c r="C9" s="75">
        <v>24</v>
      </c>
      <c r="D9" s="75">
        <f>C9-B9</f>
        <v>0</v>
      </c>
      <c r="E9" s="82">
        <f>C9/B9</f>
        <v>1</v>
      </c>
      <c r="F9" s="81">
        <v>5168000</v>
      </c>
      <c r="G9" s="81">
        <v>5168000</v>
      </c>
      <c r="H9" s="82">
        <f>G9/F9</f>
        <v>1</v>
      </c>
      <c r="I9" s="77"/>
      <c r="J9" s="10"/>
    </row>
    <row r="10" spans="1:10" ht="25.5">
      <c r="A10" s="1" t="s">
        <v>111</v>
      </c>
      <c r="B10" s="75">
        <v>79</v>
      </c>
      <c r="C10" s="75">
        <v>79</v>
      </c>
      <c r="D10" s="75">
        <f>C10-B10</f>
        <v>0</v>
      </c>
      <c r="E10" s="82">
        <f>C10/B10</f>
        <v>1</v>
      </c>
      <c r="F10" s="81">
        <v>983410</v>
      </c>
      <c r="G10" s="81">
        <v>874352.4</v>
      </c>
      <c r="H10" s="82">
        <f>G10/F10</f>
        <v>0.889102612338699</v>
      </c>
      <c r="I10" s="77"/>
      <c r="J10" s="13" t="s">
        <v>337</v>
      </c>
    </row>
    <row r="11" spans="1:10" ht="12.75">
      <c r="A11" s="2" t="s">
        <v>245</v>
      </c>
      <c r="B11" s="78">
        <f>SUM(B9:B10)</f>
        <v>103</v>
      </c>
      <c r="C11" s="78">
        <f>SUM(C9:C10)</f>
        <v>103</v>
      </c>
      <c r="D11" s="78">
        <f>C11-B11</f>
        <v>0</v>
      </c>
      <c r="E11" s="79">
        <f>(E9+E10)/2</f>
        <v>1</v>
      </c>
      <c r="F11" s="80">
        <f>SUM(F9:F10)</f>
        <v>6151410</v>
      </c>
      <c r="G11" s="80">
        <f>SUM(G9:G10)</f>
        <v>6042352.4</v>
      </c>
      <c r="H11" s="79">
        <f>(H9+H10)/2</f>
        <v>0.9445513061693496</v>
      </c>
      <c r="I11" s="79">
        <f>E11/H11</f>
        <v>1.0587037395094228</v>
      </c>
      <c r="J11" s="15"/>
    </row>
    <row r="12" spans="1:10" ht="25.5">
      <c r="A12" s="1" t="s">
        <v>101</v>
      </c>
      <c r="B12" s="78"/>
      <c r="C12" s="78"/>
      <c r="D12" s="78"/>
      <c r="E12" s="79"/>
      <c r="F12" s="82">
        <f>F11/F809</f>
        <v>0.0025092294913015723</v>
      </c>
      <c r="G12" s="82">
        <f>G11/G809</f>
        <v>0.0025582250891935513</v>
      </c>
      <c r="H12" s="90"/>
      <c r="I12" s="90"/>
      <c r="J12" s="15"/>
    </row>
    <row r="13" spans="1:10" ht="15.75" customHeight="1">
      <c r="A13" s="520" t="s">
        <v>239</v>
      </c>
      <c r="B13" s="520"/>
      <c r="C13" s="520"/>
      <c r="D13" s="520"/>
      <c r="E13" s="520"/>
      <c r="F13" s="520"/>
      <c r="G13" s="520"/>
      <c r="H13" s="520"/>
      <c r="I13" s="520"/>
      <c r="J13" s="520"/>
    </row>
    <row r="14" spans="1:10" ht="38.25" customHeight="1">
      <c r="A14" s="1" t="s">
        <v>240</v>
      </c>
      <c r="B14" s="75"/>
      <c r="C14" s="75"/>
      <c r="D14" s="75"/>
      <c r="E14" s="82"/>
      <c r="F14" s="81">
        <v>1195293.07</v>
      </c>
      <c r="G14" s="81">
        <v>1195293.07</v>
      </c>
      <c r="H14" s="82">
        <f>G14/F14</f>
        <v>1</v>
      </c>
      <c r="I14" s="82">
        <f>E16/H14</f>
        <v>1</v>
      </c>
      <c r="J14" s="279"/>
    </row>
    <row r="15" spans="1:10" ht="62.25" customHeight="1">
      <c r="A15" s="1" t="s">
        <v>241</v>
      </c>
      <c r="B15" s="75"/>
      <c r="C15" s="75"/>
      <c r="D15" s="75"/>
      <c r="E15" s="82"/>
      <c r="F15" s="81">
        <v>50000</v>
      </c>
      <c r="G15" s="81">
        <v>50000</v>
      </c>
      <c r="H15" s="82">
        <f>G15/F15</f>
        <v>1</v>
      </c>
      <c r="I15" s="82">
        <f>E15/H15</f>
        <v>0</v>
      </c>
      <c r="J15" s="279"/>
    </row>
    <row r="16" spans="1:10" ht="38.25">
      <c r="A16" s="1" t="s">
        <v>669</v>
      </c>
      <c r="B16" s="75">
        <v>1</v>
      </c>
      <c r="C16" s="75">
        <v>1</v>
      </c>
      <c r="D16" s="75">
        <f>C16-B16</f>
        <v>0</v>
      </c>
      <c r="E16" s="82">
        <f>C16/B16</f>
        <v>1</v>
      </c>
      <c r="F16" s="81"/>
      <c r="G16" s="81"/>
      <c r="H16" s="82"/>
      <c r="I16" s="82"/>
      <c r="J16" s="279"/>
    </row>
    <row r="17" spans="1:10" ht="33.75">
      <c r="A17" s="1" t="s">
        <v>670</v>
      </c>
      <c r="B17" s="419">
        <v>8195</v>
      </c>
      <c r="C17" s="419">
        <v>8195</v>
      </c>
      <c r="D17" s="75">
        <f>C17-B17</f>
        <v>0</v>
      </c>
      <c r="E17" s="82">
        <f>C17/B17</f>
        <v>1</v>
      </c>
      <c r="F17" s="109"/>
      <c r="G17" s="109"/>
      <c r="H17" s="77"/>
      <c r="I17" s="77"/>
      <c r="J17" s="285" t="s">
        <v>260</v>
      </c>
    </row>
    <row r="18" spans="1:10" ht="15.75">
      <c r="A18" s="2" t="s">
        <v>242</v>
      </c>
      <c r="B18" s="252">
        <f>B16+B15+B17</f>
        <v>8196</v>
      </c>
      <c r="C18" s="252">
        <f>C16+C15+C17</f>
        <v>8196</v>
      </c>
      <c r="D18" s="252">
        <f>D16+D15+D17</f>
        <v>0</v>
      </c>
      <c r="E18" s="90">
        <f>C18/B18</f>
        <v>1</v>
      </c>
      <c r="F18" s="89">
        <f>F14+F15+F17</f>
        <v>1245293.07</v>
      </c>
      <c r="G18" s="89">
        <f>G14+G15+G17</f>
        <v>1245293.07</v>
      </c>
      <c r="H18" s="90">
        <f>(H14+H15)/2</f>
        <v>1</v>
      </c>
      <c r="I18" s="90">
        <f>E18/H18</f>
        <v>1</v>
      </c>
      <c r="J18" s="280"/>
    </row>
    <row r="19" spans="1:10" ht="12.75">
      <c r="A19" s="310" t="s">
        <v>243</v>
      </c>
      <c r="B19" s="71">
        <f>B11+B18</f>
        <v>8299</v>
      </c>
      <c r="C19" s="71">
        <f>C11+C18</f>
        <v>8299</v>
      </c>
      <c r="D19" s="325">
        <f>C19-B19</f>
        <v>0</v>
      </c>
      <c r="E19" s="73">
        <f>C19/B19</f>
        <v>1</v>
      </c>
      <c r="F19" s="69">
        <f>F11+F18</f>
        <v>7396703.07</v>
      </c>
      <c r="G19" s="69">
        <f>G11+G18</f>
        <v>7287645.470000001</v>
      </c>
      <c r="H19" s="358">
        <f>(H11+H18)/2</f>
        <v>0.9722756530846748</v>
      </c>
      <c r="I19" s="73">
        <f>E19/H19</f>
        <v>1.0285149040062518</v>
      </c>
      <c r="J19" s="68"/>
    </row>
    <row r="20" spans="1:10" ht="25.5">
      <c r="A20" s="1" t="s">
        <v>101</v>
      </c>
      <c r="B20" s="78"/>
      <c r="C20" s="78"/>
      <c r="D20" s="78"/>
      <c r="E20" s="79"/>
      <c r="F20" s="82">
        <f>F19/F809</f>
        <v>0.0030171985742528753</v>
      </c>
      <c r="G20" s="82">
        <f>G19/G809</f>
        <v>0.0030854601400775185</v>
      </c>
      <c r="H20" s="90"/>
      <c r="I20" s="90"/>
      <c r="J20" s="15"/>
    </row>
    <row r="21" spans="1:10" ht="12.75" customHeight="1">
      <c r="A21" s="520" t="s">
        <v>305</v>
      </c>
      <c r="B21" s="520"/>
      <c r="C21" s="520"/>
      <c r="D21" s="520"/>
      <c r="E21" s="520"/>
      <c r="F21" s="520"/>
      <c r="G21" s="520"/>
      <c r="H21" s="520"/>
      <c r="I21" s="520"/>
      <c r="J21" s="520"/>
    </row>
    <row r="22" spans="1:10" ht="12.75" customHeight="1">
      <c r="A22" s="509" t="s">
        <v>306</v>
      </c>
      <c r="B22" s="509"/>
      <c r="C22" s="509"/>
      <c r="D22" s="509"/>
      <c r="E22" s="509"/>
      <c r="F22" s="509"/>
      <c r="G22" s="509"/>
      <c r="H22" s="509"/>
      <c r="I22" s="509"/>
      <c r="J22" s="6"/>
    </row>
    <row r="23" spans="1:10" ht="30" customHeight="1">
      <c r="A23" s="19" t="s">
        <v>650</v>
      </c>
      <c r="B23" s="76"/>
      <c r="C23" s="76"/>
      <c r="D23" s="76"/>
      <c r="E23" s="77"/>
      <c r="F23" s="81">
        <v>33342891.08</v>
      </c>
      <c r="G23" s="81">
        <v>32293963.42</v>
      </c>
      <c r="H23" s="82">
        <f>G23/F23</f>
        <v>0.9685411904599607</v>
      </c>
      <c r="I23" s="77"/>
      <c r="J23" s="6"/>
    </row>
    <row r="24" spans="1:10" ht="88.5" customHeight="1">
      <c r="A24" s="19" t="s">
        <v>307</v>
      </c>
      <c r="B24" s="75">
        <v>12.3</v>
      </c>
      <c r="C24" s="75">
        <v>14.3</v>
      </c>
      <c r="D24" s="75">
        <f>C24-B24</f>
        <v>2</v>
      </c>
      <c r="E24" s="82">
        <f>C24/B24</f>
        <v>1.1626016260162602</v>
      </c>
      <c r="F24" s="98"/>
      <c r="G24" s="98"/>
      <c r="H24" s="77"/>
      <c r="I24" s="77"/>
      <c r="J24" s="6"/>
    </row>
    <row r="25" spans="1:10" ht="12.75">
      <c r="A25" s="2" t="s">
        <v>308</v>
      </c>
      <c r="B25" s="78">
        <f>SUM(B24:B24)</f>
        <v>12.3</v>
      </c>
      <c r="C25" s="78">
        <f>SUM(C24:C24)</f>
        <v>14.3</v>
      </c>
      <c r="D25" s="78">
        <f>C25-B25</f>
        <v>2</v>
      </c>
      <c r="E25" s="79">
        <f>C25/B25</f>
        <v>1.1626016260162602</v>
      </c>
      <c r="F25" s="80">
        <f>SUM(F23:F24)</f>
        <v>33342891.08</v>
      </c>
      <c r="G25" s="80">
        <f>SUM(G23:G24)</f>
        <v>32293963.42</v>
      </c>
      <c r="H25" s="79">
        <f>G25/F25</f>
        <v>0.9685411904599607</v>
      </c>
      <c r="I25" s="79">
        <f>E25/H25</f>
        <v>1.2003636370531026</v>
      </c>
      <c r="J25" s="13"/>
    </row>
    <row r="26" spans="1:10" ht="25.5">
      <c r="A26" s="1" t="s">
        <v>101</v>
      </c>
      <c r="B26" s="76"/>
      <c r="C26" s="76"/>
      <c r="D26" s="76"/>
      <c r="E26" s="77"/>
      <c r="F26" s="81">
        <f>F25/F809</f>
        <v>0.013600941186360873</v>
      </c>
      <c r="G26" s="81">
        <f>G25/G809</f>
        <v>0.013672692683489095</v>
      </c>
      <c r="H26" s="77"/>
      <c r="I26" s="77"/>
      <c r="J26" s="13"/>
    </row>
    <row r="27" spans="1:10" ht="12.75" customHeight="1">
      <c r="A27" s="509" t="s">
        <v>309</v>
      </c>
      <c r="B27" s="509"/>
      <c r="C27" s="509"/>
      <c r="D27" s="509"/>
      <c r="E27" s="509"/>
      <c r="F27" s="509"/>
      <c r="G27" s="509"/>
      <c r="H27" s="509"/>
      <c r="I27" s="509"/>
      <c r="J27" s="509"/>
    </row>
    <row r="28" spans="1:10" ht="51">
      <c r="A28" s="18" t="s">
        <v>310</v>
      </c>
      <c r="B28" s="201"/>
      <c r="C28" s="201"/>
      <c r="D28" s="201"/>
      <c r="E28" s="201"/>
      <c r="F28" s="98">
        <v>70000</v>
      </c>
      <c r="G28" s="98">
        <v>70000</v>
      </c>
      <c r="H28" s="77">
        <f>G28/F28</f>
        <v>1</v>
      </c>
      <c r="I28" s="201"/>
      <c r="J28" s="22"/>
    </row>
    <row r="29" spans="1:10" ht="12.75">
      <c r="A29" s="18" t="s">
        <v>364</v>
      </c>
      <c r="B29" s="201"/>
      <c r="C29" s="201"/>
      <c r="D29" s="201"/>
      <c r="E29" s="201"/>
      <c r="F29" s="98">
        <v>70000</v>
      </c>
      <c r="G29" s="98">
        <v>70000</v>
      </c>
      <c r="H29" s="77">
        <f>G29/F29</f>
        <v>1</v>
      </c>
      <c r="I29" s="201"/>
      <c r="J29" s="22"/>
    </row>
    <row r="30" spans="1:10" ht="41.25" customHeight="1">
      <c r="A30" s="18" t="s">
        <v>68</v>
      </c>
      <c r="B30" s="76">
        <v>8000</v>
      </c>
      <c r="C30" s="76">
        <v>8000</v>
      </c>
      <c r="D30" s="111">
        <f aca="true" t="shared" si="0" ref="D30:D39">C30-B30</f>
        <v>0</v>
      </c>
      <c r="E30" s="114">
        <f aca="true" t="shared" si="1" ref="E30:E39">C30/B30</f>
        <v>1</v>
      </c>
      <c r="F30" s="98"/>
      <c r="G30" s="98"/>
      <c r="H30" s="77"/>
      <c r="I30" s="201"/>
      <c r="J30" s="22"/>
    </row>
    <row r="31" spans="1:10" ht="76.5">
      <c r="A31" s="18" t="s">
        <v>365</v>
      </c>
      <c r="B31" s="76">
        <v>20</v>
      </c>
      <c r="C31" s="76">
        <v>20</v>
      </c>
      <c r="D31" s="111">
        <f t="shared" si="0"/>
        <v>0</v>
      </c>
      <c r="E31" s="114">
        <f t="shared" si="1"/>
        <v>1</v>
      </c>
      <c r="F31" s="98"/>
      <c r="G31" s="98"/>
      <c r="H31" s="77"/>
      <c r="I31" s="201"/>
      <c r="J31" s="22"/>
    </row>
    <row r="32" spans="1:10" ht="54.75" customHeight="1">
      <c r="A32" s="18" t="s">
        <v>715</v>
      </c>
      <c r="B32" s="76">
        <v>5</v>
      </c>
      <c r="C32" s="76">
        <v>5</v>
      </c>
      <c r="D32" s="111">
        <f t="shared" si="0"/>
        <v>0</v>
      </c>
      <c r="E32" s="114">
        <f t="shared" si="1"/>
        <v>1</v>
      </c>
      <c r="F32" s="98"/>
      <c r="G32" s="98"/>
      <c r="H32" s="77"/>
      <c r="I32" s="201"/>
      <c r="J32" s="13"/>
    </row>
    <row r="33" spans="1:10" ht="76.5">
      <c r="A33" s="19" t="s">
        <v>130</v>
      </c>
      <c r="B33" s="76">
        <v>4500</v>
      </c>
      <c r="C33" s="76">
        <v>4500</v>
      </c>
      <c r="D33" s="76">
        <f t="shared" si="0"/>
        <v>0</v>
      </c>
      <c r="E33" s="77">
        <f t="shared" si="1"/>
        <v>1</v>
      </c>
      <c r="F33" s="98"/>
      <c r="G33" s="98"/>
      <c r="H33" s="77"/>
      <c r="I33" s="77"/>
      <c r="J33" s="6"/>
    </row>
    <row r="34" spans="1:10" ht="50.25" customHeight="1">
      <c r="A34" s="19" t="s">
        <v>638</v>
      </c>
      <c r="B34" s="76">
        <v>68</v>
      </c>
      <c r="C34" s="76">
        <v>68</v>
      </c>
      <c r="D34" s="76">
        <f t="shared" si="0"/>
        <v>0</v>
      </c>
      <c r="E34" s="77">
        <f t="shared" si="1"/>
        <v>1</v>
      </c>
      <c r="F34" s="98"/>
      <c r="G34" s="98"/>
      <c r="H34" s="77"/>
      <c r="I34" s="77"/>
      <c r="J34" s="6"/>
    </row>
    <row r="35" spans="1:10" ht="39.75" customHeight="1">
      <c r="A35" s="19" t="s">
        <v>89</v>
      </c>
      <c r="B35" s="200">
        <v>183</v>
      </c>
      <c r="C35" s="200">
        <v>183</v>
      </c>
      <c r="D35" s="111">
        <f t="shared" si="0"/>
        <v>0</v>
      </c>
      <c r="E35" s="114">
        <f t="shared" si="1"/>
        <v>1</v>
      </c>
      <c r="F35" s="80"/>
      <c r="G35" s="80"/>
      <c r="H35" s="79"/>
      <c r="I35" s="79"/>
      <c r="J35" s="15"/>
    </row>
    <row r="36" spans="1:10" ht="76.5">
      <c r="A36" s="19" t="s">
        <v>366</v>
      </c>
      <c r="B36" s="200">
        <v>143</v>
      </c>
      <c r="C36" s="200">
        <v>143</v>
      </c>
      <c r="D36" s="111">
        <f t="shared" si="0"/>
        <v>0</v>
      </c>
      <c r="E36" s="114">
        <f t="shared" si="1"/>
        <v>1</v>
      </c>
      <c r="F36" s="80"/>
      <c r="G36" s="80"/>
      <c r="H36" s="79"/>
      <c r="I36" s="79"/>
      <c r="J36" s="15"/>
    </row>
    <row r="37" spans="1:10" ht="38.25">
      <c r="A37" s="19" t="s">
        <v>367</v>
      </c>
      <c r="B37" s="200">
        <v>1</v>
      </c>
      <c r="C37" s="200">
        <v>1</v>
      </c>
      <c r="D37" s="111">
        <f t="shared" si="0"/>
        <v>0</v>
      </c>
      <c r="E37" s="114">
        <f t="shared" si="1"/>
        <v>1</v>
      </c>
      <c r="F37" s="80"/>
      <c r="G37" s="80"/>
      <c r="H37" s="79"/>
      <c r="I37" s="79"/>
      <c r="J37" s="15"/>
    </row>
    <row r="38" spans="1:10" ht="51">
      <c r="A38" s="19" t="s">
        <v>412</v>
      </c>
      <c r="B38" s="200">
        <v>12</v>
      </c>
      <c r="C38" s="200">
        <v>12</v>
      </c>
      <c r="D38" s="111">
        <f t="shared" si="0"/>
        <v>0</v>
      </c>
      <c r="E38" s="114">
        <f t="shared" si="1"/>
        <v>1</v>
      </c>
      <c r="F38" s="80"/>
      <c r="G38" s="80"/>
      <c r="H38" s="79"/>
      <c r="I38" s="79"/>
      <c r="J38" s="15"/>
    </row>
    <row r="39" spans="1:10" ht="12.75">
      <c r="A39" s="2" t="s">
        <v>179</v>
      </c>
      <c r="B39" s="238">
        <f>SUM(B30:B38)</f>
        <v>12932</v>
      </c>
      <c r="C39" s="238">
        <f>SUM(C30:C38)</f>
        <v>12932</v>
      </c>
      <c r="D39" s="239">
        <f t="shared" si="0"/>
        <v>0</v>
      </c>
      <c r="E39" s="225">
        <f t="shared" si="1"/>
        <v>1</v>
      </c>
      <c r="F39" s="235">
        <f>SUM(F29:F38)</f>
        <v>70000</v>
      </c>
      <c r="G39" s="235">
        <f>SUM(G29:G38)</f>
        <v>70000</v>
      </c>
      <c r="H39" s="79">
        <f>G39/F39</f>
        <v>1</v>
      </c>
      <c r="I39" s="79">
        <f>E39/H39</f>
        <v>1</v>
      </c>
      <c r="J39" s="15"/>
    </row>
    <row r="40" spans="1:10" ht="25.5">
      <c r="A40" s="1" t="s">
        <v>101</v>
      </c>
      <c r="B40" s="200"/>
      <c r="C40" s="200"/>
      <c r="D40" s="111"/>
      <c r="E40" s="114"/>
      <c r="F40" s="450">
        <f>F39/F809</f>
        <v>2.85537891948529E-05</v>
      </c>
      <c r="G40" s="450">
        <f>G39/G809</f>
        <v>2.9636761378490368E-05</v>
      </c>
      <c r="H40" s="77"/>
      <c r="I40" s="77"/>
      <c r="J40" s="15"/>
    </row>
    <row r="41" spans="1:10" ht="39.75" customHeight="1">
      <c r="A41" s="2" t="s">
        <v>414</v>
      </c>
      <c r="B41" s="158"/>
      <c r="C41" s="158"/>
      <c r="D41" s="111"/>
      <c r="E41" s="112"/>
      <c r="F41" s="159"/>
      <c r="G41" s="159"/>
      <c r="H41" s="114"/>
      <c r="I41" s="112"/>
      <c r="J41" s="15"/>
    </row>
    <row r="42" spans="1:10" ht="39.75" customHeight="1">
      <c r="A42" s="19" t="s">
        <v>150</v>
      </c>
      <c r="B42" s="158">
        <v>1101</v>
      </c>
      <c r="C42" s="158">
        <v>1101</v>
      </c>
      <c r="D42" s="111">
        <f>C42-B42</f>
        <v>0</v>
      </c>
      <c r="E42" s="114">
        <f aca="true" t="shared" si="2" ref="E42:E47">C42/B42</f>
        <v>1</v>
      </c>
      <c r="F42" s="159">
        <v>304756.8</v>
      </c>
      <c r="G42" s="159">
        <v>304756.8</v>
      </c>
      <c r="H42" s="114">
        <f aca="true" t="shared" si="3" ref="H42:H48">G42/F42</f>
        <v>1</v>
      </c>
      <c r="I42" s="112"/>
      <c r="J42" s="15"/>
    </row>
    <row r="43" spans="1:10" ht="96" customHeight="1">
      <c r="A43" s="7" t="s">
        <v>151</v>
      </c>
      <c r="B43" s="158">
        <f>B44+B45+B46+B47</f>
        <v>223</v>
      </c>
      <c r="C43" s="158">
        <f>SUM(C44:C47)</f>
        <v>223</v>
      </c>
      <c r="D43" s="111">
        <f>C43-B43</f>
        <v>0</v>
      </c>
      <c r="E43" s="114">
        <f t="shared" si="2"/>
        <v>1</v>
      </c>
      <c r="F43" s="159">
        <f>SUM(F44:F47)</f>
        <v>1390393.2</v>
      </c>
      <c r="G43" s="159">
        <f>SUM(G44:G47)</f>
        <v>1390393.2</v>
      </c>
      <c r="H43" s="114">
        <f t="shared" si="3"/>
        <v>1</v>
      </c>
      <c r="I43" s="112"/>
      <c r="J43" s="15"/>
    </row>
    <row r="44" spans="1:10" ht="25.5" customHeight="1">
      <c r="A44" s="451" t="s">
        <v>637</v>
      </c>
      <c r="B44" s="158">
        <v>23</v>
      </c>
      <c r="C44" s="158">
        <v>23</v>
      </c>
      <c r="D44" s="111">
        <f>C44-B44</f>
        <v>0</v>
      </c>
      <c r="E44" s="114">
        <f t="shared" si="2"/>
        <v>1</v>
      </c>
      <c r="F44" s="159">
        <v>130385.09</v>
      </c>
      <c r="G44" s="159">
        <v>130385.09</v>
      </c>
      <c r="H44" s="114">
        <f t="shared" si="3"/>
        <v>1</v>
      </c>
      <c r="I44" s="112"/>
      <c r="J44" s="15"/>
    </row>
    <row r="45" spans="1:10" ht="12.75">
      <c r="A45" s="451" t="s">
        <v>250</v>
      </c>
      <c r="B45" s="158">
        <v>54</v>
      </c>
      <c r="C45" s="158">
        <v>54</v>
      </c>
      <c r="D45" s="111">
        <f aca="true" t="shared" si="4" ref="D45:D50">C45-B45</f>
        <v>0</v>
      </c>
      <c r="E45" s="112">
        <f t="shared" si="2"/>
        <v>1</v>
      </c>
      <c r="F45" s="159">
        <v>352687.11</v>
      </c>
      <c r="G45" s="159">
        <v>352687.11</v>
      </c>
      <c r="H45" s="114">
        <f t="shared" si="3"/>
        <v>1</v>
      </c>
      <c r="I45" s="112"/>
      <c r="J45" s="15"/>
    </row>
    <row r="46" spans="1:10" ht="12.75">
      <c r="A46" s="451" t="s">
        <v>249</v>
      </c>
      <c r="B46" s="158">
        <v>143</v>
      </c>
      <c r="C46" s="158">
        <v>143</v>
      </c>
      <c r="D46" s="111">
        <f t="shared" si="4"/>
        <v>0</v>
      </c>
      <c r="E46" s="112">
        <f t="shared" si="2"/>
        <v>1</v>
      </c>
      <c r="F46" s="159">
        <v>880273</v>
      </c>
      <c r="G46" s="159">
        <v>880273</v>
      </c>
      <c r="H46" s="114">
        <f t="shared" si="3"/>
        <v>1</v>
      </c>
      <c r="I46" s="112"/>
      <c r="J46" s="243"/>
    </row>
    <row r="47" spans="1:10" ht="26.25" customHeight="1">
      <c r="A47" s="451" t="s">
        <v>7</v>
      </c>
      <c r="B47" s="158">
        <v>3</v>
      </c>
      <c r="C47" s="158">
        <v>3</v>
      </c>
      <c r="D47" s="111">
        <f t="shared" si="4"/>
        <v>0</v>
      </c>
      <c r="E47" s="112">
        <f t="shared" si="2"/>
        <v>1</v>
      </c>
      <c r="F47" s="159">
        <v>27048</v>
      </c>
      <c r="G47" s="159">
        <v>27048</v>
      </c>
      <c r="H47" s="114">
        <f t="shared" si="3"/>
        <v>1</v>
      </c>
      <c r="I47" s="112"/>
      <c r="J47" s="243"/>
    </row>
    <row r="48" spans="1:10" ht="38.25">
      <c r="A48" s="452" t="s">
        <v>413</v>
      </c>
      <c r="B48" s="110"/>
      <c r="C48" s="110"/>
      <c r="D48" s="111"/>
      <c r="E48" s="112"/>
      <c r="F48" s="159">
        <v>571787</v>
      </c>
      <c r="G48" s="159">
        <v>571787</v>
      </c>
      <c r="H48" s="114">
        <f t="shared" si="3"/>
        <v>1</v>
      </c>
      <c r="I48" s="112"/>
      <c r="J48" s="15"/>
    </row>
    <row r="49" spans="1:10" ht="39" customHeight="1">
      <c r="A49" s="452" t="s">
        <v>178</v>
      </c>
      <c r="B49" s="110">
        <v>19</v>
      </c>
      <c r="C49" s="110">
        <v>19</v>
      </c>
      <c r="D49" s="111">
        <f>C49-B49</f>
        <v>0</v>
      </c>
      <c r="E49" s="112">
        <f>C49/B49</f>
        <v>1</v>
      </c>
      <c r="F49" s="113"/>
      <c r="G49" s="113"/>
      <c r="H49" s="114"/>
      <c r="I49" s="115"/>
      <c r="J49" s="15"/>
    </row>
    <row r="50" spans="1:10" ht="12.75">
      <c r="A50" s="2" t="s">
        <v>197</v>
      </c>
      <c r="B50" s="244">
        <f>B42+B43+B49</f>
        <v>1343</v>
      </c>
      <c r="C50" s="244">
        <f>C42+C43+C49</f>
        <v>1343</v>
      </c>
      <c r="D50" s="239">
        <f t="shared" si="4"/>
        <v>0</v>
      </c>
      <c r="E50" s="234">
        <f>C50/B50</f>
        <v>1</v>
      </c>
      <c r="F50" s="244">
        <f>F42+F43+F48</f>
        <v>2266937</v>
      </c>
      <c r="G50" s="244">
        <f>G42+G43+G48</f>
        <v>2266937</v>
      </c>
      <c r="H50" s="225">
        <f>G50/F50</f>
        <v>1</v>
      </c>
      <c r="I50" s="79">
        <f>E50/H50</f>
        <v>1</v>
      </c>
      <c r="J50" s="15"/>
    </row>
    <row r="51" spans="1:10" ht="25.5">
      <c r="A51" s="1" t="s">
        <v>101</v>
      </c>
      <c r="B51" s="158"/>
      <c r="C51" s="158"/>
      <c r="D51" s="111"/>
      <c r="E51" s="112"/>
      <c r="F51" s="237">
        <f>F50/F809</f>
        <v>0.0009247091602287464</v>
      </c>
      <c r="G51" s="237">
        <f>G50/G809</f>
        <v>0.0009597810132724403</v>
      </c>
      <c r="H51" s="225"/>
      <c r="I51" s="77"/>
      <c r="J51" s="15"/>
    </row>
    <row r="52" spans="1:10" ht="12.75" customHeight="1">
      <c r="A52" s="509" t="s">
        <v>415</v>
      </c>
      <c r="B52" s="509"/>
      <c r="C52" s="509"/>
      <c r="D52" s="509"/>
      <c r="E52" s="509"/>
      <c r="F52" s="509"/>
      <c r="G52" s="509"/>
      <c r="H52" s="509"/>
      <c r="I52" s="509"/>
      <c r="J52" s="509"/>
    </row>
    <row r="53" spans="1:10" ht="49.5" customHeight="1">
      <c r="A53" s="4" t="s">
        <v>27</v>
      </c>
      <c r="B53" s="22"/>
      <c r="C53" s="22"/>
      <c r="D53" s="22"/>
      <c r="E53" s="22"/>
      <c r="F53" s="113">
        <v>96584893.12</v>
      </c>
      <c r="G53" s="113">
        <v>95829889.54</v>
      </c>
      <c r="H53" s="114">
        <f>G53/F53</f>
        <v>0.992183005482421</v>
      </c>
      <c r="I53" s="22"/>
      <c r="J53" s="22"/>
    </row>
    <row r="54" spans="1:10" ht="25.5">
      <c r="A54" s="18" t="s">
        <v>416</v>
      </c>
      <c r="B54" s="200"/>
      <c r="C54" s="200"/>
      <c r="D54" s="159"/>
      <c r="E54" s="112"/>
      <c r="F54" s="204"/>
      <c r="G54" s="204"/>
      <c r="H54" s="205"/>
      <c r="I54" s="203"/>
      <c r="J54" s="22"/>
    </row>
    <row r="55" spans="1:10" ht="27" customHeight="1">
      <c r="A55" s="33" t="s">
        <v>417</v>
      </c>
      <c r="B55" s="202">
        <v>319.5</v>
      </c>
      <c r="C55" s="202">
        <v>319.5</v>
      </c>
      <c r="D55" s="119">
        <f>C55-B55</f>
        <v>0</v>
      </c>
      <c r="E55" s="120">
        <f>C55/B55</f>
        <v>1</v>
      </c>
      <c r="F55" s="159"/>
      <c r="G55" s="159"/>
      <c r="H55" s="203"/>
      <c r="I55" s="203"/>
      <c r="J55" s="22"/>
    </row>
    <row r="56" spans="1:10" ht="42" customHeight="1">
      <c r="A56" s="33" t="s">
        <v>418</v>
      </c>
      <c r="B56" s="202">
        <v>3</v>
      </c>
      <c r="C56" s="202">
        <v>3</v>
      </c>
      <c r="D56" s="119">
        <f>C56-B56</f>
        <v>0</v>
      </c>
      <c r="E56" s="120">
        <f>C56/B56</f>
        <v>1</v>
      </c>
      <c r="F56" s="159"/>
      <c r="G56" s="159"/>
      <c r="H56" s="203"/>
      <c r="I56" s="203"/>
      <c r="J56" s="22"/>
    </row>
    <row r="57" spans="1:10" ht="12.75">
      <c r="A57" s="34" t="s">
        <v>641</v>
      </c>
      <c r="B57" s="240">
        <f>SUM(B55:B56)</f>
        <v>322.5</v>
      </c>
      <c r="C57" s="240">
        <f>SUM(C55:C56)</f>
        <v>322.5</v>
      </c>
      <c r="D57" s="235">
        <f>C57-B57</f>
        <v>0</v>
      </c>
      <c r="E57" s="234">
        <f>C57/B57</f>
        <v>1</v>
      </c>
      <c r="F57" s="235">
        <f>SUM(F53:F56)</f>
        <v>96584893.12</v>
      </c>
      <c r="G57" s="235">
        <f>SUM(G53:G56)</f>
        <v>95829889.54</v>
      </c>
      <c r="H57" s="225">
        <f>G57/F57</f>
        <v>0.992183005482421</v>
      </c>
      <c r="I57" s="79">
        <f>E57/H57</f>
        <v>1.0078785813447573</v>
      </c>
      <c r="J57" s="22"/>
    </row>
    <row r="58" spans="1:10" ht="25.5">
      <c r="A58" s="1" t="s">
        <v>101</v>
      </c>
      <c r="B58" s="202"/>
      <c r="C58" s="202"/>
      <c r="D58" s="119"/>
      <c r="E58" s="120"/>
      <c r="F58" s="237">
        <f>F57/F809</f>
        <v>0.03939806682222683</v>
      </c>
      <c r="G58" s="237">
        <f>G57/G809</f>
        <v>0.04057267956034386</v>
      </c>
      <c r="H58" s="114"/>
      <c r="I58" s="77"/>
      <c r="J58" s="22"/>
    </row>
    <row r="59" spans="1:10" ht="51">
      <c r="A59" s="34" t="s">
        <v>419</v>
      </c>
      <c r="B59" s="202"/>
      <c r="C59" s="202"/>
      <c r="D59" s="119"/>
      <c r="E59" s="120"/>
      <c r="F59" s="159">
        <v>1044000</v>
      </c>
      <c r="G59" s="159">
        <v>1044000</v>
      </c>
      <c r="H59" s="114">
        <f>G59/F59</f>
        <v>1</v>
      </c>
      <c r="I59" s="77"/>
      <c r="J59" s="22"/>
    </row>
    <row r="60" spans="1:10" ht="38.25">
      <c r="A60" s="32" t="s">
        <v>420</v>
      </c>
      <c r="B60" s="202"/>
      <c r="C60" s="202"/>
      <c r="D60" s="119"/>
      <c r="E60" s="120"/>
      <c r="F60" s="159"/>
      <c r="G60" s="159"/>
      <c r="H60" s="114"/>
      <c r="I60" s="77"/>
      <c r="J60" s="22"/>
    </row>
    <row r="61" spans="1:10" ht="12.75">
      <c r="A61" s="32" t="s">
        <v>642</v>
      </c>
      <c r="B61" s="202">
        <v>381.94</v>
      </c>
      <c r="C61" s="202">
        <v>381.94</v>
      </c>
      <c r="D61" s="119">
        <f>C61-B61</f>
        <v>0</v>
      </c>
      <c r="E61" s="120">
        <f>C61/B61</f>
        <v>1</v>
      </c>
      <c r="F61" s="159"/>
      <c r="G61" s="159"/>
      <c r="H61" s="114"/>
      <c r="I61" s="77"/>
      <c r="J61" s="22"/>
    </row>
    <row r="62" spans="1:10" ht="12.75">
      <c r="A62" s="34" t="s">
        <v>421</v>
      </c>
      <c r="B62" s="240">
        <f>SUM(B60:B61)</f>
        <v>381.94</v>
      </c>
      <c r="C62" s="240">
        <f>SUM(C60:C61)</f>
        <v>381.94</v>
      </c>
      <c r="D62" s="235">
        <f>C62-B62</f>
        <v>0</v>
      </c>
      <c r="E62" s="234">
        <f>C62/B62</f>
        <v>1</v>
      </c>
      <c r="F62" s="235">
        <f>SUM(F59:F61)</f>
        <v>1044000</v>
      </c>
      <c r="G62" s="235">
        <f>SUM(G59:G61)</f>
        <v>1044000</v>
      </c>
      <c r="H62" s="225">
        <f>G62/F62</f>
        <v>1</v>
      </c>
      <c r="I62" s="79">
        <f>E62/H62</f>
        <v>1</v>
      </c>
      <c r="J62" s="22"/>
    </row>
    <row r="63" spans="1:10" ht="25.5">
      <c r="A63" s="1" t="s">
        <v>101</v>
      </c>
      <c r="B63" s="202"/>
      <c r="C63" s="202"/>
      <c r="D63" s="119"/>
      <c r="E63" s="120"/>
      <c r="F63" s="237">
        <f>F62/F809</f>
        <v>0.0004258593702775204</v>
      </c>
      <c r="G63" s="237">
        <f>G62/G809</f>
        <v>0.00044201112684491345</v>
      </c>
      <c r="H63" s="114"/>
      <c r="I63" s="77"/>
      <c r="J63" s="22"/>
    </row>
    <row r="64" spans="1:10" ht="12.75" customHeight="1">
      <c r="A64" s="509" t="s">
        <v>422</v>
      </c>
      <c r="B64" s="509"/>
      <c r="C64" s="509"/>
      <c r="D64" s="509"/>
      <c r="E64" s="509"/>
      <c r="F64" s="509"/>
      <c r="G64" s="509"/>
      <c r="H64" s="509"/>
      <c r="I64" s="509"/>
      <c r="J64" s="509"/>
    </row>
    <row r="65" spans="1:10" ht="27" customHeight="1">
      <c r="A65" s="484" t="s">
        <v>423</v>
      </c>
      <c r="B65" s="484"/>
      <c r="C65" s="484"/>
      <c r="D65" s="484"/>
      <c r="E65" s="484"/>
      <c r="F65" s="484"/>
      <c r="G65" s="484"/>
      <c r="H65" s="484"/>
      <c r="I65" s="484"/>
      <c r="J65" s="484"/>
    </row>
    <row r="66" spans="1:10" ht="26.25" customHeight="1">
      <c r="A66" s="32" t="s">
        <v>424</v>
      </c>
      <c r="B66" s="22"/>
      <c r="C66" s="22"/>
      <c r="D66" s="22"/>
      <c r="E66" s="22"/>
      <c r="F66" s="159">
        <v>5300000</v>
      </c>
      <c r="G66" s="159">
        <v>5300000</v>
      </c>
      <c r="H66" s="112">
        <f>G66/F66</f>
        <v>1</v>
      </c>
      <c r="I66" s="201"/>
      <c r="J66" s="22"/>
    </row>
    <row r="67" spans="1:10" ht="54" customHeight="1">
      <c r="A67" s="32" t="s">
        <v>425</v>
      </c>
      <c r="B67" s="75">
        <v>1</v>
      </c>
      <c r="C67" s="75">
        <v>1</v>
      </c>
      <c r="D67" s="204">
        <f>C67-B67</f>
        <v>0</v>
      </c>
      <c r="E67" s="208">
        <f>C67/B67</f>
        <v>1</v>
      </c>
      <c r="F67" s="22"/>
      <c r="G67" s="22"/>
      <c r="H67" s="22"/>
      <c r="I67" s="22"/>
      <c r="J67" s="22"/>
    </row>
    <row r="68" spans="1:10" ht="25.5">
      <c r="A68" s="206" t="s">
        <v>426</v>
      </c>
      <c r="B68" s="207"/>
      <c r="C68" s="207"/>
      <c r="D68" s="207"/>
      <c r="E68" s="207"/>
      <c r="F68" s="81">
        <v>87600</v>
      </c>
      <c r="G68" s="81">
        <v>87600</v>
      </c>
      <c r="H68" s="208">
        <f>G68/F68</f>
        <v>1</v>
      </c>
      <c r="I68" s="207"/>
      <c r="J68" s="53"/>
    </row>
    <row r="69" spans="1:10" ht="51.75" customHeight="1">
      <c r="A69" s="206" t="s">
        <v>482</v>
      </c>
      <c r="B69" s="81">
        <v>1</v>
      </c>
      <c r="C69" s="81">
        <v>1</v>
      </c>
      <c r="D69" s="204">
        <f>C69-B69</f>
        <v>0</v>
      </c>
      <c r="E69" s="208">
        <f>C69/B69</f>
        <v>1</v>
      </c>
      <c r="F69" s="81"/>
      <c r="G69" s="81"/>
      <c r="H69" s="208"/>
      <c r="I69" s="207"/>
      <c r="J69" s="53"/>
    </row>
    <row r="70" spans="1:10" ht="12.75">
      <c r="A70" s="209" t="s">
        <v>483</v>
      </c>
      <c r="B70" s="241">
        <f>B67+B69</f>
        <v>2</v>
      </c>
      <c r="C70" s="241">
        <f>C67+C69</f>
        <v>2</v>
      </c>
      <c r="D70" s="235">
        <f>C70-B70</f>
        <v>0</v>
      </c>
      <c r="E70" s="234">
        <f>C70/B70</f>
        <v>1</v>
      </c>
      <c r="F70" s="80">
        <f>F66+F68</f>
        <v>5387600</v>
      </c>
      <c r="G70" s="80">
        <f>G66+G68</f>
        <v>5387600</v>
      </c>
      <c r="H70" s="234">
        <f>G70/F70</f>
        <v>1</v>
      </c>
      <c r="I70" s="234">
        <f>E70/H70</f>
        <v>1</v>
      </c>
      <c r="J70" s="53"/>
    </row>
    <row r="71" spans="1:10" ht="25.5">
      <c r="A71" s="1" t="s">
        <v>101</v>
      </c>
      <c r="B71" s="95"/>
      <c r="C71" s="95"/>
      <c r="D71" s="159"/>
      <c r="E71" s="112"/>
      <c r="F71" s="237">
        <f>F70/F809</f>
        <v>0.002197662780945564</v>
      </c>
      <c r="G71" s="237">
        <f>G70/G809</f>
        <v>0.0022810145086107816</v>
      </c>
      <c r="H71" s="112"/>
      <c r="I71" s="112"/>
      <c r="J71" s="53"/>
    </row>
    <row r="72" spans="1:10" ht="12.75" customHeight="1">
      <c r="A72" s="509" t="s">
        <v>484</v>
      </c>
      <c r="B72" s="509"/>
      <c r="C72" s="509"/>
      <c r="D72" s="509"/>
      <c r="E72" s="509"/>
      <c r="F72" s="509"/>
      <c r="G72" s="509"/>
      <c r="H72" s="509"/>
      <c r="I72" s="509"/>
      <c r="J72" s="509"/>
    </row>
    <row r="73" spans="1:10" ht="25.5">
      <c r="A73" s="20" t="s">
        <v>54</v>
      </c>
      <c r="B73" s="116"/>
      <c r="C73" s="116"/>
      <c r="D73" s="116"/>
      <c r="E73" s="116"/>
      <c r="F73" s="154">
        <v>16777570.95</v>
      </c>
      <c r="G73" s="154">
        <v>16774570.95</v>
      </c>
      <c r="H73" s="154">
        <f>G73/F73</f>
        <v>0.9998211898487009</v>
      </c>
      <c r="I73" s="116"/>
      <c r="J73" s="54"/>
    </row>
    <row r="74" spans="1:10" ht="89.25">
      <c r="A74" s="20" t="s">
        <v>131</v>
      </c>
      <c r="B74" s="88">
        <v>23.7</v>
      </c>
      <c r="C74" s="88">
        <v>23.7</v>
      </c>
      <c r="D74" s="204">
        <f>C74-B74</f>
        <v>0</v>
      </c>
      <c r="E74" s="208">
        <f>C74/B74</f>
        <v>1</v>
      </c>
      <c r="F74" s="210"/>
      <c r="G74" s="210"/>
      <c r="H74" s="208"/>
      <c r="I74" s="116"/>
      <c r="J74" s="54"/>
    </row>
    <row r="75" spans="1:10" ht="12.75">
      <c r="A75" s="4" t="s">
        <v>485</v>
      </c>
      <c r="B75" s="242">
        <f>SUM(B72:B74)</f>
        <v>23.7</v>
      </c>
      <c r="C75" s="242">
        <f>SUM(C72:C74)</f>
        <v>23.7</v>
      </c>
      <c r="D75" s="235">
        <f>C75-B75</f>
        <v>0</v>
      </c>
      <c r="E75" s="234">
        <f>C75/B75</f>
        <v>1</v>
      </c>
      <c r="F75" s="80">
        <f>SUM(F73)</f>
        <v>16777570.95</v>
      </c>
      <c r="G75" s="80">
        <f>SUM(G73)</f>
        <v>16774570.95</v>
      </c>
      <c r="H75" s="234">
        <f>G75/F75</f>
        <v>0.9998211898487009</v>
      </c>
      <c r="I75" s="234">
        <f>E75/H75</f>
        <v>1.0001788421300875</v>
      </c>
      <c r="J75" s="54"/>
    </row>
    <row r="76" spans="1:10" ht="12.75">
      <c r="A76" s="310" t="s">
        <v>617</v>
      </c>
      <c r="B76" s="317">
        <f>B25+B39+B50+B57+B62+B70+B75</f>
        <v>15017.44</v>
      </c>
      <c r="C76" s="317">
        <f>C25+C39+C50+C57+C62+C70+C75</f>
        <v>15019.44</v>
      </c>
      <c r="D76" s="318">
        <f>C76-B76</f>
        <v>2</v>
      </c>
      <c r="E76" s="319">
        <f>C76/B76</f>
        <v>1.000133178491141</v>
      </c>
      <c r="F76" s="317">
        <f>F25+F39+F50+F57+F62+F70+F75</f>
        <v>155473892.14999998</v>
      </c>
      <c r="G76" s="317">
        <f>G25+G39+G50+G57+G62+G70+G75</f>
        <v>153666960.91</v>
      </c>
      <c r="H76" s="68">
        <f>(H25+H39+H50+H57+H62+H70+H75)/7</f>
        <v>0.9943636265415832</v>
      </c>
      <c r="I76" s="68">
        <f>E76/H76</f>
        <v>1.005802255629185</v>
      </c>
      <c r="J76" s="68"/>
    </row>
    <row r="77" spans="1:10" ht="25.5">
      <c r="A77" s="19" t="s">
        <v>636</v>
      </c>
      <c r="B77" s="99"/>
      <c r="C77" s="99"/>
      <c r="D77" s="235"/>
      <c r="E77" s="234"/>
      <c r="F77" s="81">
        <f>F76/F809</f>
        <v>0.0634195534536342</v>
      </c>
      <c r="G77" s="81">
        <f>G76/G809</f>
        <v>0.06505987217496395</v>
      </c>
      <c r="H77" s="234"/>
      <c r="I77" s="79"/>
      <c r="J77" s="453"/>
    </row>
    <row r="78" spans="1:10" ht="24.75" customHeight="1">
      <c r="A78" s="520" t="s">
        <v>132</v>
      </c>
      <c r="B78" s="520"/>
      <c r="C78" s="520"/>
      <c r="D78" s="520"/>
      <c r="E78" s="520"/>
      <c r="F78" s="520"/>
      <c r="G78" s="520"/>
      <c r="H78" s="520"/>
      <c r="I78" s="520"/>
      <c r="J78" s="520"/>
    </row>
    <row r="79" spans="1:10" ht="12.75">
      <c r="A79" s="4" t="s">
        <v>109</v>
      </c>
      <c r="B79" s="6"/>
      <c r="C79" s="6"/>
      <c r="D79" s="6"/>
      <c r="E79" s="3"/>
      <c r="F79" s="5"/>
      <c r="G79" s="5"/>
      <c r="H79" s="3"/>
      <c r="I79" s="3"/>
      <c r="J79" s="6"/>
    </row>
    <row r="80" spans="1:10" ht="51">
      <c r="A80" s="1" t="s">
        <v>248</v>
      </c>
      <c r="B80" s="6"/>
      <c r="C80" s="6"/>
      <c r="D80" s="6"/>
      <c r="E80" s="3"/>
      <c r="F80" s="5">
        <v>23250</v>
      </c>
      <c r="G80" s="5">
        <v>19459.86</v>
      </c>
      <c r="H80" s="3">
        <f>G80/F80</f>
        <v>0.8369832258064517</v>
      </c>
      <c r="I80" s="3"/>
      <c r="J80" s="502" t="s">
        <v>517</v>
      </c>
    </row>
    <row r="81" spans="1:10" ht="63.75">
      <c r="A81" s="1" t="s">
        <v>635</v>
      </c>
      <c r="B81" s="6"/>
      <c r="C81" s="6"/>
      <c r="D81" s="6"/>
      <c r="E81" s="3"/>
      <c r="F81" s="5">
        <v>175000</v>
      </c>
      <c r="G81" s="5">
        <v>174720</v>
      </c>
      <c r="H81" s="3">
        <f>G81/F81</f>
        <v>0.9984</v>
      </c>
      <c r="I81" s="3"/>
      <c r="J81" s="502"/>
    </row>
    <row r="82" spans="1:10" ht="102.75" customHeight="1">
      <c r="A82" s="1" t="s">
        <v>32</v>
      </c>
      <c r="B82" s="6"/>
      <c r="C82" s="6"/>
      <c r="D82" s="6"/>
      <c r="E82" s="3"/>
      <c r="F82" s="5">
        <v>50000</v>
      </c>
      <c r="G82" s="5">
        <v>50000</v>
      </c>
      <c r="H82" s="3">
        <f>G82/F82</f>
        <v>1</v>
      </c>
      <c r="I82" s="3"/>
      <c r="J82" s="6"/>
    </row>
    <row r="83" spans="1:10" ht="25.5">
      <c r="A83" s="196" t="s">
        <v>708</v>
      </c>
      <c r="B83" s="76">
        <v>208</v>
      </c>
      <c r="C83" s="76">
        <v>208</v>
      </c>
      <c r="D83" s="76">
        <f>C83-B83</f>
        <v>0</v>
      </c>
      <c r="E83" s="77">
        <f>C83/B83</f>
        <v>1</v>
      </c>
      <c r="F83" s="98"/>
      <c r="G83" s="98"/>
      <c r="H83" s="77"/>
      <c r="I83" s="77"/>
      <c r="J83" s="6"/>
    </row>
    <row r="84" spans="1:10" ht="28.5" customHeight="1">
      <c r="A84" s="196" t="s">
        <v>709</v>
      </c>
      <c r="B84" s="76">
        <v>564</v>
      </c>
      <c r="C84" s="76">
        <v>555</v>
      </c>
      <c r="D84" s="76">
        <f>C84-B84</f>
        <v>-9</v>
      </c>
      <c r="E84" s="77">
        <f>B84/C84</f>
        <v>1.0162162162162163</v>
      </c>
      <c r="F84" s="98"/>
      <c r="G84" s="98"/>
      <c r="H84" s="77"/>
      <c r="I84" s="77"/>
      <c r="J84" s="6"/>
    </row>
    <row r="85" spans="1:10" ht="25.5">
      <c r="A85" s="384" t="s">
        <v>710</v>
      </c>
      <c r="B85" s="76">
        <v>275</v>
      </c>
      <c r="C85" s="76">
        <v>171</v>
      </c>
      <c r="D85" s="76">
        <f>C85-B85</f>
        <v>-104</v>
      </c>
      <c r="E85" s="77">
        <f>B85/C85</f>
        <v>1.608187134502924</v>
      </c>
      <c r="F85" s="98"/>
      <c r="G85" s="98"/>
      <c r="H85" s="77"/>
      <c r="I85" s="77"/>
      <c r="J85" s="6"/>
    </row>
    <row r="86" spans="1:10" ht="38.25">
      <c r="A86" s="384" t="s">
        <v>711</v>
      </c>
      <c r="B86" s="76">
        <v>154</v>
      </c>
      <c r="C86" s="76">
        <v>188</v>
      </c>
      <c r="D86" s="76">
        <f>C86-B86</f>
        <v>34</v>
      </c>
      <c r="E86" s="77">
        <f>B86/C86</f>
        <v>0.8191489361702128</v>
      </c>
      <c r="F86" s="98"/>
      <c r="G86" s="98"/>
      <c r="H86" s="77"/>
      <c r="I86" s="77"/>
      <c r="J86" s="6"/>
    </row>
    <row r="87" spans="1:10" ht="25.5">
      <c r="A87" s="384" t="s">
        <v>712</v>
      </c>
      <c r="B87" s="76">
        <v>60</v>
      </c>
      <c r="C87" s="76">
        <v>23</v>
      </c>
      <c r="D87" s="76">
        <f>C87-B87</f>
        <v>-37</v>
      </c>
      <c r="E87" s="77">
        <f>B87/C87</f>
        <v>2.608695652173913</v>
      </c>
      <c r="F87" s="98"/>
      <c r="G87" s="98"/>
      <c r="H87" s="77"/>
      <c r="I87" s="77"/>
      <c r="J87" s="6"/>
    </row>
    <row r="88" spans="1:10" ht="25.5">
      <c r="A88" s="196" t="s">
        <v>101</v>
      </c>
      <c r="B88" s="76"/>
      <c r="C88" s="76"/>
      <c r="D88" s="76"/>
      <c r="E88" s="77"/>
      <c r="F88" s="370">
        <f>F89/F809</f>
        <v>0.00010126397382317475</v>
      </c>
      <c r="G88" s="370">
        <f>G89/G809</f>
        <v>0.00010338143206075977</v>
      </c>
      <c r="H88" s="77"/>
      <c r="I88" s="77"/>
      <c r="J88" s="6"/>
    </row>
    <row r="89" spans="1:10" ht="12.75">
      <c r="A89" s="310" t="s">
        <v>618</v>
      </c>
      <c r="B89" s="71">
        <f>SUM(B83:B87)</f>
        <v>1261</v>
      </c>
      <c r="C89" s="71">
        <f>SUM(C83:C87)</f>
        <v>1145</v>
      </c>
      <c r="D89" s="71">
        <f>C89-B89</f>
        <v>-116</v>
      </c>
      <c r="E89" s="68">
        <f>(E83+E84+E85+E86+E87)/5</f>
        <v>1.4104495878126533</v>
      </c>
      <c r="F89" s="68">
        <f>SUM(F80:F82)</f>
        <v>248250</v>
      </c>
      <c r="G89" s="68">
        <f>SUM(G80:G82)</f>
        <v>244179.86</v>
      </c>
      <c r="H89" s="68">
        <f>(H80+H81+H82)/3</f>
        <v>0.9451277419354839</v>
      </c>
      <c r="I89" s="68">
        <f>E89/H89</f>
        <v>1.4923375171744067</v>
      </c>
      <c r="J89" s="68"/>
    </row>
    <row r="90" spans="1:10" ht="12.75" customHeight="1">
      <c r="A90" s="520" t="s">
        <v>12</v>
      </c>
      <c r="B90" s="520"/>
      <c r="C90" s="520"/>
      <c r="D90" s="520"/>
      <c r="E90" s="520"/>
      <c r="F90" s="520"/>
      <c r="G90" s="520"/>
      <c r="H90" s="520"/>
      <c r="I90" s="520"/>
      <c r="J90" s="520"/>
    </row>
    <row r="91" spans="1:10" ht="12.75" customHeight="1">
      <c r="A91" s="511" t="s">
        <v>189</v>
      </c>
      <c r="B91" s="511"/>
      <c r="C91" s="511"/>
      <c r="D91" s="511"/>
      <c r="E91" s="511"/>
      <c r="F91" s="511"/>
      <c r="G91" s="511"/>
      <c r="H91" s="511"/>
      <c r="I91" s="511"/>
      <c r="J91" s="511"/>
    </row>
    <row r="92" spans="1:10" ht="52.5" customHeight="1">
      <c r="A92" s="1" t="s">
        <v>190</v>
      </c>
      <c r="B92" s="95"/>
      <c r="C92" s="76"/>
      <c r="D92" s="95"/>
      <c r="E92" s="77"/>
      <c r="F92" s="81">
        <v>1752287.45</v>
      </c>
      <c r="G92" s="81">
        <v>1752287.45</v>
      </c>
      <c r="H92" s="82">
        <f>G92/F92</f>
        <v>1</v>
      </c>
      <c r="I92" s="3"/>
      <c r="J92" s="10"/>
    </row>
    <row r="93" spans="1:10" ht="63.75">
      <c r="A93" s="1" t="s">
        <v>191</v>
      </c>
      <c r="B93" s="95"/>
      <c r="C93" s="76"/>
      <c r="D93" s="95"/>
      <c r="E93" s="77"/>
      <c r="F93" s="81">
        <v>647584.51</v>
      </c>
      <c r="G93" s="81">
        <v>647584.51</v>
      </c>
      <c r="H93" s="82">
        <f>G93/F93</f>
        <v>1</v>
      </c>
      <c r="I93" s="3"/>
      <c r="J93" s="10"/>
    </row>
    <row r="94" spans="1:10" ht="33.75">
      <c r="A94" s="1" t="s">
        <v>192</v>
      </c>
      <c r="B94" s="95"/>
      <c r="C94" s="76"/>
      <c r="D94" s="95"/>
      <c r="E94" s="77"/>
      <c r="F94" s="81">
        <v>46679129.37</v>
      </c>
      <c r="G94" s="81">
        <v>41989393.59</v>
      </c>
      <c r="H94" s="82">
        <f>G94/F94</f>
        <v>0.8995324925015843</v>
      </c>
      <c r="I94" s="77"/>
      <c r="J94" s="96" t="s">
        <v>437</v>
      </c>
    </row>
    <row r="95" spans="1:10" ht="25.5" customHeight="1">
      <c r="A95" s="1" t="s">
        <v>193</v>
      </c>
      <c r="B95" s="95"/>
      <c r="C95" s="76"/>
      <c r="D95" s="95"/>
      <c r="E95" s="77"/>
      <c r="F95" s="81">
        <v>406800</v>
      </c>
      <c r="G95" s="81">
        <v>406800</v>
      </c>
      <c r="H95" s="82">
        <f>G95/F95</f>
        <v>1</v>
      </c>
      <c r="I95" s="3"/>
      <c r="J95" s="10"/>
    </row>
    <row r="96" spans="1:10" ht="63.75">
      <c r="A96" s="97" t="s">
        <v>438</v>
      </c>
      <c r="B96" s="95">
        <v>37</v>
      </c>
      <c r="C96" s="76">
        <v>37</v>
      </c>
      <c r="D96" s="95">
        <f aca="true" t="shared" si="5" ref="D96:D113">C96-B96</f>
        <v>0</v>
      </c>
      <c r="E96" s="335">
        <f aca="true" t="shared" si="6" ref="E96:E112">C96/B96</f>
        <v>1</v>
      </c>
      <c r="F96" s="99"/>
      <c r="G96" s="99"/>
      <c r="H96" s="79"/>
      <c r="I96" s="15"/>
      <c r="J96" s="402"/>
    </row>
    <row r="97" spans="1:10" ht="51.75" customHeight="1">
      <c r="A97" s="50" t="s">
        <v>194</v>
      </c>
      <c r="B97" s="95">
        <v>8</v>
      </c>
      <c r="C97" s="76">
        <v>8</v>
      </c>
      <c r="D97" s="95">
        <f t="shared" si="5"/>
        <v>0</v>
      </c>
      <c r="E97" s="335">
        <f t="shared" si="6"/>
        <v>1</v>
      </c>
      <c r="F97" s="99"/>
      <c r="G97" s="99"/>
      <c r="H97" s="79"/>
      <c r="I97" s="15"/>
      <c r="J97" s="402"/>
    </row>
    <row r="98" spans="1:10" ht="38.25">
      <c r="A98" s="50" t="s">
        <v>195</v>
      </c>
      <c r="B98" s="95">
        <v>69</v>
      </c>
      <c r="C98" s="76">
        <v>69</v>
      </c>
      <c r="D98" s="95">
        <f t="shared" si="5"/>
        <v>0</v>
      </c>
      <c r="E98" s="335">
        <f t="shared" si="6"/>
        <v>1</v>
      </c>
      <c r="F98" s="99"/>
      <c r="G98" s="99"/>
      <c r="H98" s="79"/>
      <c r="I98" s="15"/>
      <c r="J98" s="49"/>
    </row>
    <row r="99" spans="1:10" ht="48" customHeight="1">
      <c r="A99" s="454" t="s">
        <v>113</v>
      </c>
      <c r="B99" s="95">
        <v>70</v>
      </c>
      <c r="C99" s="76">
        <v>70</v>
      </c>
      <c r="D99" s="95">
        <f t="shared" si="5"/>
        <v>0</v>
      </c>
      <c r="E99" s="335">
        <f t="shared" si="6"/>
        <v>1</v>
      </c>
      <c r="F99" s="99"/>
      <c r="G99" s="99"/>
      <c r="H99" s="79"/>
      <c r="I99" s="15"/>
      <c r="J99" s="49"/>
    </row>
    <row r="100" spans="1:10" ht="51">
      <c r="A100" s="50" t="s">
        <v>220</v>
      </c>
      <c r="B100" s="101">
        <v>13.8</v>
      </c>
      <c r="C100" s="76">
        <v>13.8</v>
      </c>
      <c r="D100" s="95">
        <f t="shared" si="5"/>
        <v>0</v>
      </c>
      <c r="E100" s="335">
        <f t="shared" si="6"/>
        <v>1</v>
      </c>
      <c r="F100" s="99"/>
      <c r="G100" s="99"/>
      <c r="H100" s="79"/>
      <c r="I100" s="15"/>
      <c r="J100" s="49"/>
    </row>
    <row r="101" spans="1:10" ht="12.75">
      <c r="A101" s="50" t="s">
        <v>221</v>
      </c>
      <c r="B101" s="95">
        <v>4</v>
      </c>
      <c r="C101" s="76">
        <v>4</v>
      </c>
      <c r="D101" s="95">
        <f t="shared" si="5"/>
        <v>0</v>
      </c>
      <c r="E101" s="335">
        <f t="shared" si="6"/>
        <v>1</v>
      </c>
      <c r="F101" s="99"/>
      <c r="G101" s="99"/>
      <c r="H101" s="79"/>
      <c r="I101" s="15"/>
      <c r="J101" s="49"/>
    </row>
    <row r="102" spans="1:10" ht="38.25">
      <c r="A102" s="50" t="s">
        <v>222</v>
      </c>
      <c r="B102" s="95">
        <v>550</v>
      </c>
      <c r="C102" s="76">
        <v>550</v>
      </c>
      <c r="D102" s="95">
        <f t="shared" si="5"/>
        <v>0</v>
      </c>
      <c r="E102" s="335">
        <f t="shared" si="6"/>
        <v>1</v>
      </c>
      <c r="F102" s="99"/>
      <c r="G102" s="99"/>
      <c r="H102" s="79"/>
      <c r="I102" s="15"/>
      <c r="J102" s="49"/>
    </row>
    <row r="103" spans="1:10" ht="38.25">
      <c r="A103" s="50" t="s">
        <v>223</v>
      </c>
      <c r="B103" s="95">
        <v>6</v>
      </c>
      <c r="C103" s="76">
        <v>6</v>
      </c>
      <c r="D103" s="95">
        <f t="shared" si="5"/>
        <v>0</v>
      </c>
      <c r="E103" s="335">
        <f t="shared" si="6"/>
        <v>1</v>
      </c>
      <c r="F103" s="99"/>
      <c r="G103" s="99"/>
      <c r="H103" s="79"/>
      <c r="I103" s="15"/>
      <c r="J103" s="49"/>
    </row>
    <row r="104" spans="1:10" ht="38.25">
      <c r="A104" s="50" t="s">
        <v>224</v>
      </c>
      <c r="B104" s="95">
        <v>55823</v>
      </c>
      <c r="C104" s="100">
        <v>55823</v>
      </c>
      <c r="D104" s="95">
        <f t="shared" si="5"/>
        <v>0</v>
      </c>
      <c r="E104" s="335">
        <f t="shared" si="6"/>
        <v>1</v>
      </c>
      <c r="F104" s="99"/>
      <c r="G104" s="99"/>
      <c r="H104" s="79"/>
      <c r="I104" s="15"/>
      <c r="J104" s="49"/>
    </row>
    <row r="105" spans="1:10" ht="51">
      <c r="A105" s="50" t="s">
        <v>225</v>
      </c>
      <c r="B105" s="95">
        <v>55</v>
      </c>
      <c r="C105" s="76">
        <v>55</v>
      </c>
      <c r="D105" s="95">
        <f t="shared" si="5"/>
        <v>0</v>
      </c>
      <c r="E105" s="335">
        <f t="shared" si="6"/>
        <v>1</v>
      </c>
      <c r="F105" s="99"/>
      <c r="G105" s="99"/>
      <c r="H105" s="79"/>
      <c r="I105" s="15"/>
      <c r="J105" s="49"/>
    </row>
    <row r="106" spans="1:10" ht="54" customHeight="1">
      <c r="A106" s="50" t="s">
        <v>226</v>
      </c>
      <c r="B106" s="95">
        <v>38.1</v>
      </c>
      <c r="C106" s="76">
        <v>38.1</v>
      </c>
      <c r="D106" s="95">
        <f t="shared" si="5"/>
        <v>0</v>
      </c>
      <c r="E106" s="335">
        <f t="shared" si="6"/>
        <v>1</v>
      </c>
      <c r="F106" s="99"/>
      <c r="G106" s="99"/>
      <c r="H106" s="79"/>
      <c r="I106" s="15"/>
      <c r="J106" s="49"/>
    </row>
    <row r="107" spans="1:10" ht="25.5">
      <c r="A107" s="50" t="s">
        <v>227</v>
      </c>
      <c r="B107" s="95">
        <v>20</v>
      </c>
      <c r="C107" s="76">
        <v>20</v>
      </c>
      <c r="D107" s="95">
        <f t="shared" si="5"/>
        <v>0</v>
      </c>
      <c r="E107" s="335">
        <f t="shared" si="6"/>
        <v>1</v>
      </c>
      <c r="F107" s="99"/>
      <c r="G107" s="99"/>
      <c r="H107" s="79"/>
      <c r="I107" s="15"/>
      <c r="J107" s="49"/>
    </row>
    <row r="108" spans="1:10" ht="38.25">
      <c r="A108" s="50" t="s">
        <v>228</v>
      </c>
      <c r="B108" s="100">
        <v>966036</v>
      </c>
      <c r="C108" s="100">
        <v>966036</v>
      </c>
      <c r="D108" s="95">
        <f t="shared" si="5"/>
        <v>0</v>
      </c>
      <c r="E108" s="335">
        <f t="shared" si="6"/>
        <v>1</v>
      </c>
      <c r="F108" s="99"/>
      <c r="G108" s="99"/>
      <c r="H108" s="79"/>
      <c r="I108" s="15"/>
      <c r="J108" s="49"/>
    </row>
    <row r="109" spans="1:10" ht="38.25">
      <c r="A109" s="50" t="s">
        <v>229</v>
      </c>
      <c r="B109" s="101">
        <v>43.5</v>
      </c>
      <c r="C109" s="76">
        <v>43.5</v>
      </c>
      <c r="D109" s="95">
        <f t="shared" si="5"/>
        <v>0</v>
      </c>
      <c r="E109" s="335">
        <f t="shared" si="6"/>
        <v>1</v>
      </c>
      <c r="F109" s="99"/>
      <c r="G109" s="99"/>
      <c r="H109" s="79"/>
      <c r="I109" s="15"/>
      <c r="J109" s="49"/>
    </row>
    <row r="110" spans="1:10" ht="25.5">
      <c r="A110" s="50" t="s">
        <v>230</v>
      </c>
      <c r="B110" s="95">
        <v>5</v>
      </c>
      <c r="C110" s="76">
        <v>5</v>
      </c>
      <c r="D110" s="95">
        <f t="shared" si="5"/>
        <v>0</v>
      </c>
      <c r="E110" s="335">
        <f t="shared" si="6"/>
        <v>1</v>
      </c>
      <c r="F110" s="99"/>
      <c r="G110" s="99"/>
      <c r="H110" s="79"/>
      <c r="I110" s="15"/>
      <c r="J110" s="49"/>
    </row>
    <row r="111" spans="1:10" ht="51">
      <c r="A111" s="50" t="s">
        <v>231</v>
      </c>
      <c r="B111" s="95">
        <v>352</v>
      </c>
      <c r="C111" s="76">
        <v>352</v>
      </c>
      <c r="D111" s="95">
        <f t="shared" si="5"/>
        <v>0</v>
      </c>
      <c r="E111" s="335">
        <f t="shared" si="6"/>
        <v>1</v>
      </c>
      <c r="F111" s="99"/>
      <c r="G111" s="99"/>
      <c r="H111" s="79"/>
      <c r="I111" s="15"/>
      <c r="J111" s="49"/>
    </row>
    <row r="112" spans="1:10" ht="25.5">
      <c r="A112" s="50" t="s">
        <v>232</v>
      </c>
      <c r="B112" s="95">
        <v>63</v>
      </c>
      <c r="C112" s="76">
        <v>63</v>
      </c>
      <c r="D112" s="95">
        <f t="shared" si="5"/>
        <v>0</v>
      </c>
      <c r="E112" s="335">
        <f t="shared" si="6"/>
        <v>1</v>
      </c>
      <c r="F112" s="99"/>
      <c r="G112" s="99"/>
      <c r="H112" s="79"/>
      <c r="I112" s="15"/>
      <c r="J112" s="49"/>
    </row>
    <row r="113" spans="1:10" ht="12.75" customHeight="1">
      <c r="A113" s="56" t="s">
        <v>516</v>
      </c>
      <c r="B113" s="241">
        <f>SUM(B96:B112)</f>
        <v>1023193.4</v>
      </c>
      <c r="C113" s="241">
        <f>SUM(C96:C112)</f>
        <v>1023193.4</v>
      </c>
      <c r="D113" s="242">
        <f t="shared" si="5"/>
        <v>0</v>
      </c>
      <c r="E113" s="396">
        <f>SUM(E96:E112)/17</f>
        <v>1</v>
      </c>
      <c r="F113" s="80">
        <f>SUM(F92:F95)</f>
        <v>49485801.33</v>
      </c>
      <c r="G113" s="99">
        <f>SUM(G92:G95)</f>
        <v>44796065.550000004</v>
      </c>
      <c r="H113" s="79">
        <f>(H92+H93+H94+H95)/4</f>
        <v>0.974883123125396</v>
      </c>
      <c r="I113" s="79">
        <f>E113/H113</f>
        <v>1.0257639877835625</v>
      </c>
      <c r="J113" s="32"/>
    </row>
    <row r="114" spans="1:10" ht="12.75" customHeight="1">
      <c r="A114" s="1" t="s">
        <v>101</v>
      </c>
      <c r="B114" s="76"/>
      <c r="C114" s="76"/>
      <c r="D114" s="76"/>
      <c r="E114" s="77"/>
      <c r="F114" s="370">
        <f>F113/F809</f>
        <v>0.020185816275931304</v>
      </c>
      <c r="G114" s="370">
        <f>G113/G809</f>
        <v>0.01896586150572233</v>
      </c>
      <c r="H114" s="77"/>
      <c r="I114" s="77"/>
      <c r="J114" s="32"/>
    </row>
    <row r="115" spans="1:10" ht="12.75">
      <c r="A115" s="511" t="s">
        <v>233</v>
      </c>
      <c r="B115" s="511"/>
      <c r="C115" s="511"/>
      <c r="D115" s="511"/>
      <c r="E115" s="511"/>
      <c r="F115" s="511"/>
      <c r="G115" s="511"/>
      <c r="H115" s="511"/>
      <c r="I115" s="511"/>
      <c r="J115" s="511"/>
    </row>
    <row r="116" spans="1:10" ht="39" customHeight="1">
      <c r="A116" s="196" t="s">
        <v>234</v>
      </c>
      <c r="B116" s="95"/>
      <c r="C116" s="76"/>
      <c r="D116" s="95"/>
      <c r="E116" s="77"/>
      <c r="F116" s="98">
        <v>285754.33</v>
      </c>
      <c r="G116" s="98">
        <v>285754.33</v>
      </c>
      <c r="H116" s="77">
        <f aca="true" t="shared" si="7" ref="H116:H121">G116/F116</f>
        <v>1</v>
      </c>
      <c r="I116" s="3"/>
      <c r="J116" s="10"/>
    </row>
    <row r="117" spans="1:10" ht="38.25">
      <c r="A117" s="196" t="s">
        <v>235</v>
      </c>
      <c r="B117" s="95"/>
      <c r="C117" s="76"/>
      <c r="D117" s="95"/>
      <c r="E117" s="77"/>
      <c r="F117" s="98">
        <v>16527693.83</v>
      </c>
      <c r="G117" s="98">
        <v>16527693.83</v>
      </c>
      <c r="H117" s="77">
        <f t="shared" si="7"/>
        <v>1</v>
      </c>
      <c r="I117" s="15"/>
      <c r="J117" s="16"/>
    </row>
    <row r="118" spans="1:10" ht="36.75" customHeight="1">
      <c r="A118" s="196" t="s">
        <v>236</v>
      </c>
      <c r="B118" s="95"/>
      <c r="C118" s="76"/>
      <c r="D118" s="95"/>
      <c r="E118" s="77"/>
      <c r="F118" s="98">
        <v>11014001.48</v>
      </c>
      <c r="G118" s="98">
        <v>10855561.8</v>
      </c>
      <c r="H118" s="77">
        <f t="shared" si="7"/>
        <v>0.9856147032222843</v>
      </c>
      <c r="I118" s="15"/>
      <c r="J118" s="96" t="s">
        <v>437</v>
      </c>
    </row>
    <row r="119" spans="1:10" ht="38.25">
      <c r="A119" s="196" t="s">
        <v>237</v>
      </c>
      <c r="B119" s="95"/>
      <c r="C119" s="76"/>
      <c r="D119" s="95"/>
      <c r="E119" s="77"/>
      <c r="F119" s="98">
        <v>3238363.6</v>
      </c>
      <c r="G119" s="98">
        <v>3238363.6</v>
      </c>
      <c r="H119" s="77">
        <f t="shared" si="7"/>
        <v>1</v>
      </c>
      <c r="I119" s="15"/>
      <c r="J119" s="16"/>
    </row>
    <row r="120" spans="1:10" ht="33.75">
      <c r="A120" s="196" t="s">
        <v>273</v>
      </c>
      <c r="B120" s="95"/>
      <c r="C120" s="76"/>
      <c r="D120" s="95"/>
      <c r="E120" s="77"/>
      <c r="F120" s="98">
        <v>25343638.71</v>
      </c>
      <c r="G120" s="98">
        <v>23959401.36</v>
      </c>
      <c r="H120" s="77">
        <f t="shared" si="7"/>
        <v>0.9453812703913818</v>
      </c>
      <c r="I120" s="15"/>
      <c r="J120" s="96" t="s">
        <v>437</v>
      </c>
    </row>
    <row r="121" spans="1:10" ht="28.5" customHeight="1">
      <c r="A121" s="196" t="s">
        <v>274</v>
      </c>
      <c r="B121" s="95"/>
      <c r="C121" s="76"/>
      <c r="D121" s="95"/>
      <c r="E121" s="77"/>
      <c r="F121" s="98">
        <v>8330443.17</v>
      </c>
      <c r="G121" s="98">
        <v>8330443.17</v>
      </c>
      <c r="H121" s="77">
        <f t="shared" si="7"/>
        <v>1</v>
      </c>
      <c r="I121" s="43"/>
      <c r="J121" s="16"/>
    </row>
    <row r="122" spans="1:10" ht="53.25" customHeight="1">
      <c r="A122" s="102" t="s">
        <v>275</v>
      </c>
      <c r="B122" s="101">
        <v>31.5</v>
      </c>
      <c r="C122" s="103">
        <v>31.5</v>
      </c>
      <c r="D122" s="95">
        <f aca="true" t="shared" si="8" ref="D122:D135">C122-B122</f>
        <v>0</v>
      </c>
      <c r="E122" s="77">
        <f>C122/B122</f>
        <v>1</v>
      </c>
      <c r="F122" s="99"/>
      <c r="G122" s="99"/>
      <c r="H122" s="79"/>
      <c r="I122" s="15"/>
      <c r="J122" s="11"/>
    </row>
    <row r="123" spans="1:10" ht="38.25">
      <c r="A123" s="102" t="s">
        <v>705</v>
      </c>
      <c r="B123" s="101">
        <v>17.8</v>
      </c>
      <c r="C123" s="76">
        <v>17.8</v>
      </c>
      <c r="D123" s="95">
        <f t="shared" si="8"/>
        <v>0</v>
      </c>
      <c r="E123" s="77">
        <f>B123/C123</f>
        <v>1</v>
      </c>
      <c r="F123" s="99"/>
      <c r="G123" s="99"/>
      <c r="H123" s="79"/>
      <c r="I123" s="15"/>
      <c r="J123" s="11"/>
    </row>
    <row r="124" spans="1:10" ht="63.75">
      <c r="A124" s="102" t="s">
        <v>706</v>
      </c>
      <c r="B124" s="101">
        <v>35.1</v>
      </c>
      <c r="C124" s="76">
        <v>35.1</v>
      </c>
      <c r="D124" s="95">
        <f t="shared" si="8"/>
        <v>0</v>
      </c>
      <c r="E124" s="77">
        <f aca="true" t="shared" si="9" ref="E124:E134">C124/B124</f>
        <v>1</v>
      </c>
      <c r="F124" s="104"/>
      <c r="G124" s="104"/>
      <c r="H124" s="77"/>
      <c r="I124" s="3"/>
      <c r="J124" s="11"/>
    </row>
    <row r="125" spans="1:10" ht="38.25">
      <c r="A125" s="102" t="s">
        <v>564</v>
      </c>
      <c r="B125" s="95">
        <v>80.2</v>
      </c>
      <c r="C125" s="76">
        <v>80.2</v>
      </c>
      <c r="D125" s="95">
        <f t="shared" si="8"/>
        <v>0</v>
      </c>
      <c r="E125" s="77">
        <f t="shared" si="9"/>
        <v>1</v>
      </c>
      <c r="F125" s="104"/>
      <c r="G125" s="104"/>
      <c r="H125" s="77"/>
      <c r="I125" s="3"/>
      <c r="J125" s="11"/>
    </row>
    <row r="126" spans="1:10" ht="63.75">
      <c r="A126" s="102" t="s">
        <v>169</v>
      </c>
      <c r="B126" s="101">
        <v>6.8</v>
      </c>
      <c r="C126" s="76">
        <v>6.8</v>
      </c>
      <c r="D126" s="95">
        <f t="shared" si="8"/>
        <v>0</v>
      </c>
      <c r="E126" s="77">
        <f t="shared" si="9"/>
        <v>1</v>
      </c>
      <c r="F126" s="104"/>
      <c r="G126" s="104"/>
      <c r="H126" s="77"/>
      <c r="I126" s="3"/>
      <c r="J126" s="11"/>
    </row>
    <row r="127" spans="1:10" ht="25.5">
      <c r="A127" s="102" t="s">
        <v>565</v>
      </c>
      <c r="B127" s="95">
        <v>9</v>
      </c>
      <c r="C127" s="76">
        <v>9</v>
      </c>
      <c r="D127" s="95">
        <f t="shared" si="8"/>
        <v>0</v>
      </c>
      <c r="E127" s="77">
        <f t="shared" si="9"/>
        <v>1</v>
      </c>
      <c r="F127" s="104"/>
      <c r="G127" s="104"/>
      <c r="H127" s="77"/>
      <c r="I127" s="3"/>
      <c r="J127" s="11"/>
    </row>
    <row r="128" spans="1:10" ht="25.5">
      <c r="A128" s="102" t="s">
        <v>612</v>
      </c>
      <c r="B128" s="95">
        <v>32</v>
      </c>
      <c r="C128" s="76">
        <v>32</v>
      </c>
      <c r="D128" s="95">
        <f t="shared" si="8"/>
        <v>0</v>
      </c>
      <c r="E128" s="77">
        <f t="shared" si="9"/>
        <v>1</v>
      </c>
      <c r="F128" s="104"/>
      <c r="G128" s="104"/>
      <c r="H128" s="77"/>
      <c r="I128" s="3"/>
      <c r="J128" s="11"/>
    </row>
    <row r="129" spans="1:10" ht="51">
      <c r="A129" s="102" t="s">
        <v>613</v>
      </c>
      <c r="B129" s="95">
        <v>41</v>
      </c>
      <c r="C129" s="76">
        <v>41</v>
      </c>
      <c r="D129" s="95">
        <f t="shared" si="8"/>
        <v>0</v>
      </c>
      <c r="E129" s="77">
        <f t="shared" si="9"/>
        <v>1</v>
      </c>
      <c r="F129" s="104"/>
      <c r="G129" s="104"/>
      <c r="H129" s="77"/>
      <c r="I129" s="3"/>
      <c r="J129" s="11"/>
    </row>
    <row r="130" spans="1:10" ht="63.75">
      <c r="A130" s="102" t="s">
        <v>614</v>
      </c>
      <c r="B130" s="95">
        <v>160</v>
      </c>
      <c r="C130" s="76">
        <v>160</v>
      </c>
      <c r="D130" s="95">
        <f t="shared" si="8"/>
        <v>0</v>
      </c>
      <c r="E130" s="77">
        <f t="shared" si="9"/>
        <v>1</v>
      </c>
      <c r="F130" s="104"/>
      <c r="G130" s="104"/>
      <c r="H130" s="77"/>
      <c r="I130" s="3"/>
      <c r="J130" s="11"/>
    </row>
    <row r="131" spans="1:10" ht="38.25">
      <c r="A131" s="102" t="s">
        <v>401</v>
      </c>
      <c r="B131" s="95">
        <v>52</v>
      </c>
      <c r="C131" s="76">
        <v>52</v>
      </c>
      <c r="D131" s="95">
        <f t="shared" si="8"/>
        <v>0</v>
      </c>
      <c r="E131" s="77">
        <f t="shared" si="9"/>
        <v>1</v>
      </c>
      <c r="F131" s="104"/>
      <c r="G131" s="104"/>
      <c r="H131" s="77"/>
      <c r="I131" s="3"/>
      <c r="J131" s="11"/>
    </row>
    <row r="132" spans="1:10" ht="63.75">
      <c r="A132" s="102" t="s">
        <v>616</v>
      </c>
      <c r="B132" s="95">
        <v>11</v>
      </c>
      <c r="C132" s="76">
        <v>11</v>
      </c>
      <c r="D132" s="95">
        <f t="shared" si="8"/>
        <v>0</v>
      </c>
      <c r="E132" s="77">
        <f t="shared" si="9"/>
        <v>1</v>
      </c>
      <c r="F132" s="104"/>
      <c r="G132" s="104"/>
      <c r="H132" s="77"/>
      <c r="I132" s="3"/>
      <c r="J132" s="11"/>
    </row>
    <row r="133" spans="1:10" ht="38.25">
      <c r="A133" s="102" t="s">
        <v>167</v>
      </c>
      <c r="B133" s="95">
        <v>45</v>
      </c>
      <c r="C133" s="76">
        <v>45</v>
      </c>
      <c r="D133" s="95">
        <f t="shared" si="8"/>
        <v>0</v>
      </c>
      <c r="E133" s="77">
        <f t="shared" si="9"/>
        <v>1</v>
      </c>
      <c r="F133" s="104"/>
      <c r="G133" s="104"/>
      <c r="H133" s="77"/>
      <c r="I133" s="3"/>
      <c r="J133" s="11"/>
    </row>
    <row r="134" spans="1:10" ht="38.25">
      <c r="A134" s="102" t="s">
        <v>168</v>
      </c>
      <c r="B134" s="95">
        <v>330.9</v>
      </c>
      <c r="C134" s="76">
        <v>330.9</v>
      </c>
      <c r="D134" s="95">
        <f t="shared" si="8"/>
        <v>0</v>
      </c>
      <c r="E134" s="77">
        <f t="shared" si="9"/>
        <v>1</v>
      </c>
      <c r="F134" s="104"/>
      <c r="G134" s="104"/>
      <c r="H134" s="77"/>
      <c r="I134" s="3"/>
      <c r="J134" s="11"/>
    </row>
    <row r="135" spans="1:10" ht="13.5">
      <c r="A135" s="246" t="s">
        <v>70</v>
      </c>
      <c r="B135" s="251">
        <f>SUM(B122:B134)</f>
        <v>852.3000000000001</v>
      </c>
      <c r="C135" s="251">
        <f>SUM(C122:C134)</f>
        <v>852.3000000000001</v>
      </c>
      <c r="D135" s="241">
        <f t="shared" si="8"/>
        <v>0</v>
      </c>
      <c r="E135" s="79">
        <f>C135/B135</f>
        <v>1</v>
      </c>
      <c r="F135" s="80">
        <f>SUM(F116:F121)</f>
        <v>64739895.120000005</v>
      </c>
      <c r="G135" s="80">
        <f>SUM(G116:G121)</f>
        <v>63197218.09</v>
      </c>
      <c r="H135" s="361">
        <f>SUM(H116:H121)/6</f>
        <v>0.9884993289356111</v>
      </c>
      <c r="I135" s="79">
        <f>E135/H135</f>
        <v>1.011634475338261</v>
      </c>
      <c r="J135" s="1"/>
    </row>
    <row r="136" spans="1:10" ht="25.5">
      <c r="A136" s="1" t="s">
        <v>101</v>
      </c>
      <c r="B136" s="1"/>
      <c r="C136" s="1"/>
      <c r="D136" s="1"/>
      <c r="E136" s="1"/>
      <c r="F136" s="1">
        <f>F135/F809</f>
        <v>0.026408133110762372</v>
      </c>
      <c r="G136" s="1">
        <f>G135/G809</f>
        <v>0.026756583890253496</v>
      </c>
      <c r="H136" s="1"/>
      <c r="I136" s="1"/>
      <c r="J136" s="1"/>
    </row>
    <row r="137" spans="1:10" ht="12.75" customHeight="1">
      <c r="A137" s="500" t="s">
        <v>170</v>
      </c>
      <c r="B137" s="500"/>
      <c r="C137" s="500"/>
      <c r="D137" s="500"/>
      <c r="E137" s="500"/>
      <c r="F137" s="500"/>
      <c r="G137" s="500"/>
      <c r="H137" s="500"/>
      <c r="I137" s="500"/>
      <c r="J137" s="500"/>
    </row>
    <row r="138" spans="1:10" ht="25.5">
      <c r="A138" s="7" t="s">
        <v>402</v>
      </c>
      <c r="B138" s="105"/>
      <c r="C138" s="105"/>
      <c r="D138" s="105"/>
      <c r="E138" s="105"/>
      <c r="F138" s="106">
        <v>16000000</v>
      </c>
      <c r="G138" s="106">
        <v>16000000</v>
      </c>
      <c r="H138" s="82">
        <f>G138/F138</f>
        <v>1</v>
      </c>
      <c r="I138" s="57"/>
      <c r="J138" s="57"/>
    </row>
    <row r="139" spans="1:10" ht="25.5">
      <c r="A139" s="7" t="s">
        <v>171</v>
      </c>
      <c r="B139" s="105"/>
      <c r="C139" s="105"/>
      <c r="D139" s="105"/>
      <c r="E139" s="105"/>
      <c r="F139" s="106">
        <v>14931962.17</v>
      </c>
      <c r="G139" s="106">
        <v>14931962.17</v>
      </c>
      <c r="H139" s="82">
        <f>G139/F139</f>
        <v>1</v>
      </c>
      <c r="I139" s="57"/>
      <c r="J139" s="67"/>
    </row>
    <row r="140" spans="1:10" ht="37.5" customHeight="1">
      <c r="A140" s="7" t="s">
        <v>172</v>
      </c>
      <c r="B140" s="88">
        <v>49</v>
      </c>
      <c r="C140" s="88">
        <v>49</v>
      </c>
      <c r="D140" s="83">
        <f>C140-B140</f>
        <v>0</v>
      </c>
      <c r="E140" s="82">
        <f>C140/B140</f>
        <v>1</v>
      </c>
      <c r="F140" s="105"/>
      <c r="G140" s="105"/>
      <c r="H140" s="105"/>
      <c r="I140" s="57"/>
      <c r="J140" s="57"/>
    </row>
    <row r="141" spans="1:10" ht="50.25" customHeight="1">
      <c r="A141" s="7" t="s">
        <v>173</v>
      </c>
      <c r="B141" s="88">
        <v>120</v>
      </c>
      <c r="C141" s="88">
        <v>120</v>
      </c>
      <c r="D141" s="83">
        <f>C141-B141</f>
        <v>0</v>
      </c>
      <c r="E141" s="82">
        <f>C141/B141</f>
        <v>1</v>
      </c>
      <c r="F141" s="105"/>
      <c r="G141" s="105"/>
      <c r="H141" s="105"/>
      <c r="I141" s="57"/>
      <c r="J141" s="57"/>
    </row>
    <row r="142" spans="1:10" ht="13.5">
      <c r="A142" s="42" t="s">
        <v>34</v>
      </c>
      <c r="B142" s="247">
        <f>B140+B141</f>
        <v>169</v>
      </c>
      <c r="C142" s="247">
        <f>C140+C141</f>
        <v>169</v>
      </c>
      <c r="D142" s="248">
        <f>C142-B142</f>
        <v>0</v>
      </c>
      <c r="E142" s="90">
        <f>C142/B142</f>
        <v>1</v>
      </c>
      <c r="F142" s="249">
        <f>SUM(F138:F139)</f>
        <v>30931962.17</v>
      </c>
      <c r="G142" s="249">
        <f>SUM(G138:G139)</f>
        <v>30931962.17</v>
      </c>
      <c r="H142" s="79">
        <f>G142/F142</f>
        <v>1</v>
      </c>
      <c r="I142" s="79">
        <f>E142/H142</f>
        <v>1</v>
      </c>
      <c r="J142" s="57"/>
    </row>
    <row r="143" spans="1:10" ht="25.5">
      <c r="A143" s="1" t="s">
        <v>101</v>
      </c>
      <c r="B143" s="76"/>
      <c r="C143" s="76"/>
      <c r="D143" s="76"/>
      <c r="E143" s="77"/>
      <c r="F143" s="77">
        <f>F142/F809</f>
        <v>0.012617496102647782</v>
      </c>
      <c r="G143" s="77">
        <f>G142/G809</f>
        <v>0.013096045454296873</v>
      </c>
      <c r="H143" s="77"/>
      <c r="I143" s="77"/>
      <c r="J143" s="57"/>
    </row>
    <row r="144" spans="1:10" ht="12.75" customHeight="1">
      <c r="A144" s="498" t="s">
        <v>174</v>
      </c>
      <c r="B144" s="498"/>
      <c r="C144" s="498"/>
      <c r="D144" s="498"/>
      <c r="E144" s="498"/>
      <c r="F144" s="498"/>
      <c r="G144" s="498"/>
      <c r="H144" s="498"/>
      <c r="I144" s="498"/>
      <c r="J144" s="498"/>
    </row>
    <row r="145" spans="1:10" ht="51">
      <c r="A145" s="7" t="s">
        <v>154</v>
      </c>
      <c r="B145" s="107"/>
      <c r="C145" s="107"/>
      <c r="D145" s="107"/>
      <c r="E145" s="107"/>
      <c r="F145" s="106">
        <v>7810939.95</v>
      </c>
      <c r="G145" s="106">
        <v>7593871.85</v>
      </c>
      <c r="H145" s="108">
        <f>G145/F145</f>
        <v>0.9722097338617998</v>
      </c>
      <c r="I145" s="58"/>
      <c r="J145" s="96" t="s">
        <v>437</v>
      </c>
    </row>
    <row r="146" spans="1:10" ht="25.5">
      <c r="A146" s="7" t="s">
        <v>155</v>
      </c>
      <c r="B146" s="88">
        <v>4</v>
      </c>
      <c r="C146" s="88">
        <v>4</v>
      </c>
      <c r="D146" s="83">
        <f>C146-B146</f>
        <v>0</v>
      </c>
      <c r="E146" s="85">
        <f>C146/B146</f>
        <v>1</v>
      </c>
      <c r="F146" s="106"/>
      <c r="G146" s="106"/>
      <c r="H146" s="82"/>
      <c r="I146" s="58"/>
      <c r="J146" s="58"/>
    </row>
    <row r="147" spans="1:10" ht="38.25">
      <c r="A147" s="7" t="s">
        <v>156</v>
      </c>
      <c r="B147" s="88">
        <v>4</v>
      </c>
      <c r="C147" s="88">
        <v>4</v>
      </c>
      <c r="D147" s="83">
        <f>C147-B147</f>
        <v>0</v>
      </c>
      <c r="E147" s="85">
        <f>C147/B147</f>
        <v>1</v>
      </c>
      <c r="F147" s="106"/>
      <c r="G147" s="106"/>
      <c r="H147" s="82"/>
      <c r="I147" s="58"/>
      <c r="J147" s="58"/>
    </row>
    <row r="148" spans="1:10" ht="38.25">
      <c r="A148" s="7" t="s">
        <v>403</v>
      </c>
      <c r="B148" s="88">
        <v>3</v>
      </c>
      <c r="C148" s="88">
        <v>3</v>
      </c>
      <c r="D148" s="83">
        <f>C148-B148</f>
        <v>0</v>
      </c>
      <c r="E148" s="85">
        <f>C148/B148</f>
        <v>1</v>
      </c>
      <c r="F148" s="106"/>
      <c r="G148" s="106"/>
      <c r="H148" s="82"/>
      <c r="I148" s="58"/>
      <c r="J148" s="58"/>
    </row>
    <row r="149" spans="1:10" ht="38.25">
      <c r="A149" s="7" t="s">
        <v>157</v>
      </c>
      <c r="B149" s="88">
        <v>6</v>
      </c>
      <c r="C149" s="88">
        <v>6</v>
      </c>
      <c r="D149" s="83">
        <f>C149-B149</f>
        <v>0</v>
      </c>
      <c r="E149" s="85">
        <f>C149/B149</f>
        <v>1</v>
      </c>
      <c r="F149" s="106"/>
      <c r="G149" s="106"/>
      <c r="H149" s="82"/>
      <c r="I149" s="58"/>
      <c r="J149" s="58"/>
    </row>
    <row r="150" spans="1:10" ht="13.5">
      <c r="A150" s="42" t="s">
        <v>35</v>
      </c>
      <c r="B150" s="250">
        <f>SUM(B146:B149)</f>
        <v>17</v>
      </c>
      <c r="C150" s="250">
        <f>SUM(C146:C149)</f>
        <v>17</v>
      </c>
      <c r="D150" s="248">
        <f>C150-B150</f>
        <v>0</v>
      </c>
      <c r="E150" s="397">
        <f>C150/B150</f>
        <v>1</v>
      </c>
      <c r="F150" s="247">
        <f>F145</f>
        <v>7810939.95</v>
      </c>
      <c r="G150" s="247">
        <f>G145</f>
        <v>7593871.85</v>
      </c>
      <c r="H150" s="363">
        <f>G150/F150</f>
        <v>0.9722097338617998</v>
      </c>
      <c r="I150" s="363">
        <f>E150/H150</f>
        <v>1.0285846409167414</v>
      </c>
      <c r="J150" s="58"/>
    </row>
    <row r="151" spans="1:10" ht="25.5">
      <c r="A151" s="1" t="s">
        <v>101</v>
      </c>
      <c r="B151" s="76"/>
      <c r="C151" s="76"/>
      <c r="D151" s="76"/>
      <c r="E151" s="335"/>
      <c r="F151" s="77">
        <f>F150/F809</f>
        <v>0.003186170467799355</v>
      </c>
      <c r="G151" s="77">
        <f>G150/G809</f>
        <v>0.0032151109708183595</v>
      </c>
      <c r="H151" s="77"/>
      <c r="I151" s="77"/>
      <c r="J151" s="58"/>
    </row>
    <row r="152" spans="1:10" ht="12.75">
      <c r="A152" s="310" t="s">
        <v>180</v>
      </c>
      <c r="B152" s="356">
        <f>B113+B135+B142+B150</f>
        <v>1024231.7000000001</v>
      </c>
      <c r="C152" s="356">
        <f>C113+C135+C142+C150</f>
        <v>1024231.7000000001</v>
      </c>
      <c r="D152" s="357">
        <f>C152-B152</f>
        <v>0</v>
      </c>
      <c r="E152" s="68">
        <f>C152/B152</f>
        <v>1</v>
      </c>
      <c r="F152" s="69">
        <f>F113+F135+F142+F150</f>
        <v>152968598.57</v>
      </c>
      <c r="G152" s="69">
        <f>G113+G135+G142+G150</f>
        <v>146519117.66</v>
      </c>
      <c r="H152" s="68">
        <f>G152/F152</f>
        <v>0.9578378767257344</v>
      </c>
      <c r="I152" s="68">
        <f>E152/H152</f>
        <v>1.0440180163039618</v>
      </c>
      <c r="J152" s="380"/>
    </row>
    <row r="153" spans="1:10" ht="25.5">
      <c r="A153" s="1" t="s">
        <v>101</v>
      </c>
      <c r="B153" s="251"/>
      <c r="C153" s="251"/>
      <c r="D153" s="241"/>
      <c r="E153" s="79"/>
      <c r="F153" s="77">
        <f>F152/F809</f>
        <v>0.06239761595714081</v>
      </c>
      <c r="G153" s="77">
        <f>G152/G809</f>
        <v>0.06203360182109105</v>
      </c>
      <c r="H153" s="79"/>
      <c r="I153" s="79"/>
      <c r="J153" s="38"/>
    </row>
    <row r="154" spans="1:10" ht="12.75" customHeight="1">
      <c r="A154" s="520" t="s">
        <v>13</v>
      </c>
      <c r="B154" s="520"/>
      <c r="C154" s="520"/>
      <c r="D154" s="520"/>
      <c r="E154" s="520"/>
      <c r="F154" s="520"/>
      <c r="G154" s="520"/>
      <c r="H154" s="520"/>
      <c r="I154" s="520"/>
      <c r="J154" s="520"/>
    </row>
    <row r="155" spans="1:10" ht="12.75">
      <c r="A155" s="521" t="s">
        <v>561</v>
      </c>
      <c r="B155" s="521"/>
      <c r="C155" s="521"/>
      <c r="D155" s="521"/>
      <c r="E155" s="521"/>
      <c r="F155" s="521"/>
      <c r="G155" s="521"/>
      <c r="H155" s="521"/>
      <c r="I155" s="521"/>
      <c r="J155" s="521"/>
    </row>
    <row r="156" spans="1:10" ht="88.5" customHeight="1">
      <c r="A156" s="1" t="s">
        <v>603</v>
      </c>
      <c r="B156" s="83">
        <v>4</v>
      </c>
      <c r="C156" s="83">
        <v>4</v>
      </c>
      <c r="D156" s="84">
        <f>C156-B156</f>
        <v>0</v>
      </c>
      <c r="E156" s="82">
        <f>C156/B156</f>
        <v>1</v>
      </c>
      <c r="F156" s="81">
        <v>576436</v>
      </c>
      <c r="G156" s="81">
        <v>576436</v>
      </c>
      <c r="H156" s="82">
        <f>G156/F156</f>
        <v>1</v>
      </c>
      <c r="I156" s="77"/>
      <c r="J156" s="499"/>
    </row>
    <row r="157" spans="1:10" ht="51">
      <c r="A157" s="1" t="s">
        <v>354</v>
      </c>
      <c r="B157" s="83">
        <v>108</v>
      </c>
      <c r="C157" s="83">
        <v>108</v>
      </c>
      <c r="D157" s="84">
        <f aca="true" t="shared" si="10" ref="D157:D171">C157-B157</f>
        <v>0</v>
      </c>
      <c r="E157" s="82">
        <f aca="true" t="shared" si="11" ref="E157:E171">C157/B157</f>
        <v>1</v>
      </c>
      <c r="F157" s="81"/>
      <c r="G157" s="81"/>
      <c r="H157" s="82"/>
      <c r="I157" s="77"/>
      <c r="J157" s="499"/>
    </row>
    <row r="158" spans="1:10" ht="51">
      <c r="A158" s="1" t="s">
        <v>434</v>
      </c>
      <c r="B158" s="83">
        <v>46</v>
      </c>
      <c r="C158" s="83">
        <v>46</v>
      </c>
      <c r="D158" s="84">
        <f>C158-B158</f>
        <v>0</v>
      </c>
      <c r="E158" s="82">
        <f>C158/B158</f>
        <v>1</v>
      </c>
      <c r="F158" s="81"/>
      <c r="G158" s="81"/>
      <c r="H158" s="82"/>
      <c r="I158" s="77"/>
      <c r="J158" s="455"/>
    </row>
    <row r="159" spans="1:10" ht="45">
      <c r="A159" s="1" t="s">
        <v>518</v>
      </c>
      <c r="B159" s="83">
        <v>6</v>
      </c>
      <c r="C159" s="83">
        <v>0</v>
      </c>
      <c r="D159" s="84">
        <f t="shared" si="10"/>
        <v>-6</v>
      </c>
      <c r="E159" s="82">
        <f t="shared" si="11"/>
        <v>0</v>
      </c>
      <c r="F159" s="81">
        <v>18000</v>
      </c>
      <c r="G159" s="81">
        <v>0</v>
      </c>
      <c r="H159" s="82">
        <f>G159/F159</f>
        <v>0</v>
      </c>
      <c r="I159" s="77"/>
      <c r="J159" s="338" t="s">
        <v>83</v>
      </c>
    </row>
    <row r="160" spans="1:10" ht="51" customHeight="1">
      <c r="A160" s="1" t="s">
        <v>604</v>
      </c>
      <c r="B160" s="83"/>
      <c r="C160" s="83"/>
      <c r="D160" s="84"/>
      <c r="E160" s="82"/>
      <c r="F160" s="81">
        <v>64314</v>
      </c>
      <c r="G160" s="81">
        <v>64314</v>
      </c>
      <c r="H160" s="82">
        <f>G160/F160</f>
        <v>1</v>
      </c>
      <c r="I160" s="77"/>
      <c r="J160" s="338"/>
    </row>
    <row r="161" spans="1:10" ht="25.5">
      <c r="A161" s="1" t="s">
        <v>435</v>
      </c>
      <c r="B161" s="83">
        <v>1</v>
      </c>
      <c r="C161" s="83">
        <v>1</v>
      </c>
      <c r="D161" s="84">
        <f>C161-B161</f>
        <v>0</v>
      </c>
      <c r="E161" s="82">
        <f>C161/B161</f>
        <v>1</v>
      </c>
      <c r="F161" s="81"/>
      <c r="G161" s="81"/>
      <c r="H161" s="82"/>
      <c r="I161" s="77"/>
      <c r="J161" s="20"/>
    </row>
    <row r="162" spans="1:10" ht="12.75">
      <c r="A162" s="1" t="s">
        <v>640</v>
      </c>
      <c r="B162" s="83">
        <v>1</v>
      </c>
      <c r="C162" s="83">
        <v>1</v>
      </c>
      <c r="D162" s="84">
        <f t="shared" si="10"/>
        <v>0</v>
      </c>
      <c r="E162" s="82">
        <f t="shared" si="11"/>
        <v>1</v>
      </c>
      <c r="F162" s="81">
        <v>10000</v>
      </c>
      <c r="G162" s="81">
        <v>10000</v>
      </c>
      <c r="H162" s="82">
        <f>G162/F162</f>
        <v>1</v>
      </c>
      <c r="I162" s="77"/>
      <c r="J162" s="13"/>
    </row>
    <row r="163" spans="1:10" ht="25.5">
      <c r="A163" s="1" t="s">
        <v>522</v>
      </c>
      <c r="B163" s="85">
        <v>0.392</v>
      </c>
      <c r="C163" s="85">
        <v>0.392</v>
      </c>
      <c r="D163" s="84">
        <f t="shared" si="10"/>
        <v>0</v>
      </c>
      <c r="E163" s="82">
        <f t="shared" si="11"/>
        <v>1</v>
      </c>
      <c r="F163" s="86">
        <v>1652866.27</v>
      </c>
      <c r="G163" s="87">
        <v>1652866.27</v>
      </c>
      <c r="H163" s="82">
        <f>G163/F163</f>
        <v>1</v>
      </c>
      <c r="I163" s="77"/>
      <c r="J163" s="6"/>
    </row>
    <row r="164" spans="1:10" ht="12.75" customHeight="1">
      <c r="A164" s="498" t="s">
        <v>562</v>
      </c>
      <c r="B164" s="498"/>
      <c r="C164" s="498"/>
      <c r="D164" s="498"/>
      <c r="E164" s="498"/>
      <c r="F164" s="498"/>
      <c r="G164" s="498"/>
      <c r="H164" s="498"/>
      <c r="I164" s="498"/>
      <c r="J164" s="498"/>
    </row>
    <row r="165" spans="1:10" ht="89.25">
      <c r="A165" s="7" t="s">
        <v>563</v>
      </c>
      <c r="B165" s="59"/>
      <c r="C165" s="59"/>
      <c r="D165" s="59"/>
      <c r="E165" s="398"/>
      <c r="F165" s="311">
        <v>11022919.79</v>
      </c>
      <c r="G165" s="311">
        <v>10962148</v>
      </c>
      <c r="H165" s="8">
        <f>G165/F165</f>
        <v>0.9944867792601438</v>
      </c>
      <c r="I165" s="59"/>
      <c r="J165" s="96" t="s">
        <v>437</v>
      </c>
    </row>
    <row r="166" spans="1:10" ht="12.75">
      <c r="A166" s="1" t="s">
        <v>647</v>
      </c>
      <c r="B166" s="173">
        <v>179</v>
      </c>
      <c r="C166" s="173">
        <v>179</v>
      </c>
      <c r="D166" s="312">
        <f t="shared" si="10"/>
        <v>0</v>
      </c>
      <c r="E166" s="314">
        <f t="shared" si="11"/>
        <v>1</v>
      </c>
      <c r="F166" s="313"/>
      <c r="G166" s="311"/>
      <c r="H166" s="8"/>
      <c r="I166" s="3"/>
      <c r="J166" s="6"/>
    </row>
    <row r="167" spans="1:10" ht="12.75">
      <c r="A167" s="1" t="s">
        <v>520</v>
      </c>
      <c r="B167" s="314">
        <v>0.386</v>
      </c>
      <c r="C167" s="314">
        <v>0.386</v>
      </c>
      <c r="D167" s="312">
        <f t="shared" si="10"/>
        <v>0</v>
      </c>
      <c r="E167" s="314">
        <f t="shared" si="11"/>
        <v>1</v>
      </c>
      <c r="F167" s="313"/>
      <c r="G167" s="311"/>
      <c r="H167" s="3"/>
      <c r="I167" s="3"/>
      <c r="J167" s="6"/>
    </row>
    <row r="168" spans="1:10" ht="38.25">
      <c r="A168" s="1" t="s">
        <v>519</v>
      </c>
      <c r="B168" s="171">
        <v>98</v>
      </c>
      <c r="C168" s="171">
        <v>98</v>
      </c>
      <c r="D168" s="312">
        <f t="shared" si="10"/>
        <v>0</v>
      </c>
      <c r="E168" s="314">
        <f t="shared" si="11"/>
        <v>1</v>
      </c>
      <c r="F168" s="313"/>
      <c r="G168" s="311"/>
      <c r="H168" s="8"/>
      <c r="I168" s="3"/>
      <c r="J168" s="6"/>
    </row>
    <row r="169" spans="1:10" ht="138.75" customHeight="1">
      <c r="A169" s="1" t="s">
        <v>560</v>
      </c>
      <c r="B169" s="314"/>
      <c r="C169" s="314"/>
      <c r="D169" s="312"/>
      <c r="E169" s="314"/>
      <c r="F169" s="313">
        <v>11128562.59</v>
      </c>
      <c r="G169" s="311">
        <v>10851664.13</v>
      </c>
      <c r="H169" s="8">
        <f>G169/F169</f>
        <v>0.9751182187492196</v>
      </c>
      <c r="I169" s="3"/>
      <c r="J169" s="96" t="s">
        <v>437</v>
      </c>
    </row>
    <row r="170" spans="1:10" ht="25.5">
      <c r="A170" s="1" t="s">
        <v>521</v>
      </c>
      <c r="B170" s="173">
        <v>42</v>
      </c>
      <c r="C170" s="173">
        <v>42</v>
      </c>
      <c r="D170" s="312">
        <f t="shared" si="10"/>
        <v>0</v>
      </c>
      <c r="E170" s="314">
        <f t="shared" si="11"/>
        <v>1</v>
      </c>
      <c r="F170" s="313"/>
      <c r="G170" s="311"/>
      <c r="H170" s="8"/>
      <c r="I170" s="3"/>
      <c r="J170" s="6"/>
    </row>
    <row r="171" spans="1:10" ht="25.5">
      <c r="A171" s="1" t="s">
        <v>646</v>
      </c>
      <c r="B171" s="173">
        <v>24</v>
      </c>
      <c r="C171" s="173">
        <v>24</v>
      </c>
      <c r="D171" s="312">
        <f t="shared" si="10"/>
        <v>0</v>
      </c>
      <c r="E171" s="314">
        <f t="shared" si="11"/>
        <v>1</v>
      </c>
      <c r="F171" s="313"/>
      <c r="G171" s="311"/>
      <c r="H171" s="8"/>
      <c r="I171" s="3"/>
      <c r="J171" s="6"/>
    </row>
    <row r="172" spans="1:10" ht="25.5">
      <c r="A172" s="196" t="s">
        <v>101</v>
      </c>
      <c r="B172" s="76"/>
      <c r="C172" s="76"/>
      <c r="D172" s="76"/>
      <c r="E172" s="77"/>
      <c r="F172" s="77">
        <f>F173/F809</f>
        <v>0.009982852854241987</v>
      </c>
      <c r="G172" s="77">
        <f>G173/G809</f>
        <v>0.01021089243648038</v>
      </c>
      <c r="H172" s="77"/>
      <c r="I172" s="77"/>
      <c r="J172" s="6"/>
    </row>
    <row r="173" spans="1:10" ht="12.75">
      <c r="A173" s="310" t="s">
        <v>714</v>
      </c>
      <c r="B173" s="373">
        <f>SUM(B156:B171)</f>
        <v>509.778</v>
      </c>
      <c r="C173" s="373">
        <f>SUM(C156:C171)</f>
        <v>503.778</v>
      </c>
      <c r="D173" s="72">
        <f>C173-B173</f>
        <v>-6</v>
      </c>
      <c r="E173" s="68">
        <f>C173/B173</f>
        <v>0.988230170780222</v>
      </c>
      <c r="F173" s="69">
        <f>SUM(F156:F171)</f>
        <v>24473098.65</v>
      </c>
      <c r="G173" s="69">
        <f>SUM(G156:G171)</f>
        <v>24117428.4</v>
      </c>
      <c r="H173" s="68">
        <f>(H156+H159+H160+H162+H163+H165+H169)/7</f>
        <v>0.8528007140013376</v>
      </c>
      <c r="I173" s="68">
        <f>E173/H173</f>
        <v>1.1588055152339753</v>
      </c>
      <c r="J173" s="68"/>
    </row>
    <row r="174" spans="1:10" ht="12.75" customHeight="1">
      <c r="A174" s="520" t="s">
        <v>86</v>
      </c>
      <c r="B174" s="520"/>
      <c r="C174" s="520"/>
      <c r="D174" s="520"/>
      <c r="E174" s="520"/>
      <c r="F174" s="520"/>
      <c r="G174" s="520"/>
      <c r="H174" s="520"/>
      <c r="I174" s="520"/>
      <c r="J174" s="520"/>
    </row>
    <row r="175" spans="1:10" ht="89.25">
      <c r="A175" s="399" t="s">
        <v>28</v>
      </c>
      <c r="B175" s="6"/>
      <c r="C175" s="6"/>
      <c r="D175" s="6"/>
      <c r="E175" s="3"/>
      <c r="F175" s="5">
        <v>215700</v>
      </c>
      <c r="G175" s="5">
        <v>175000</v>
      </c>
      <c r="H175" s="3">
        <f>G175/F175</f>
        <v>0.8113120074177098</v>
      </c>
      <c r="I175" s="3"/>
      <c r="J175" s="96" t="s">
        <v>673</v>
      </c>
    </row>
    <row r="176" spans="1:10" ht="38.25">
      <c r="A176" s="21" t="s">
        <v>671</v>
      </c>
      <c r="B176" s="84">
        <v>9</v>
      </c>
      <c r="C176" s="84">
        <v>9</v>
      </c>
      <c r="D176" s="84">
        <f>C176-B176</f>
        <v>0</v>
      </c>
      <c r="E176" s="8">
        <f>C176/B176</f>
        <v>1</v>
      </c>
      <c r="F176" s="81"/>
      <c r="G176" s="81"/>
      <c r="H176" s="82"/>
      <c r="I176" s="82"/>
      <c r="J176" s="13"/>
    </row>
    <row r="177" spans="1:10" ht="33.75">
      <c r="A177" s="1" t="s">
        <v>672</v>
      </c>
      <c r="B177" s="6">
        <v>16</v>
      </c>
      <c r="C177" s="6">
        <v>21</v>
      </c>
      <c r="D177" s="6">
        <f>C177-B177</f>
        <v>5</v>
      </c>
      <c r="E177" s="3">
        <f>C177/B177</f>
        <v>1.3125</v>
      </c>
      <c r="F177" s="5"/>
      <c r="G177" s="5"/>
      <c r="H177" s="3"/>
      <c r="I177" s="82"/>
      <c r="J177" s="96" t="s">
        <v>673</v>
      </c>
    </row>
    <row r="178" spans="1:10" ht="63.75">
      <c r="A178" s="1" t="s">
        <v>145</v>
      </c>
      <c r="B178" s="315">
        <v>11.27</v>
      </c>
      <c r="C178" s="316">
        <v>14.79</v>
      </c>
      <c r="D178" s="316">
        <f>C178-B178</f>
        <v>3.5199999999999996</v>
      </c>
      <c r="E178" s="3">
        <f>C178/B178</f>
        <v>1.3123336291038155</v>
      </c>
      <c r="F178" s="5"/>
      <c r="G178" s="5"/>
      <c r="H178" s="3"/>
      <c r="I178" s="82"/>
      <c r="J178" s="6"/>
    </row>
    <row r="179" spans="1:10" ht="89.25">
      <c r="A179" s="1" t="s">
        <v>6</v>
      </c>
      <c r="B179" s="6">
        <v>100</v>
      </c>
      <c r="C179" s="315">
        <v>100</v>
      </c>
      <c r="D179" s="316">
        <f>C179-B179</f>
        <v>0</v>
      </c>
      <c r="E179" s="3">
        <f>C179/B179</f>
        <v>1</v>
      </c>
      <c r="F179" s="5"/>
      <c r="G179" s="5"/>
      <c r="H179" s="3"/>
      <c r="I179" s="3"/>
      <c r="J179" s="6"/>
    </row>
    <row r="180" spans="1:10" ht="25.5">
      <c r="A180" s="196" t="s">
        <v>101</v>
      </c>
      <c r="B180" s="76"/>
      <c r="C180" s="76"/>
      <c r="D180" s="76"/>
      <c r="E180" s="77"/>
      <c r="F180" s="362">
        <f>F181/F809</f>
        <v>8.798646184756815E-05</v>
      </c>
      <c r="G180" s="362">
        <f>G181/G809</f>
        <v>7.409190344622592E-05</v>
      </c>
      <c r="H180" s="77"/>
      <c r="I180" s="77"/>
      <c r="J180" s="6"/>
    </row>
    <row r="181" spans="1:10" ht="12.75">
      <c r="A181" s="310" t="s">
        <v>619</v>
      </c>
      <c r="B181" s="72">
        <f>SUM(B176:B179)</f>
        <v>136.26999999999998</v>
      </c>
      <c r="C181" s="72">
        <f>SUM(C176:C179)</f>
        <v>144.79</v>
      </c>
      <c r="D181" s="72">
        <f>C181-B181</f>
        <v>8.52000000000001</v>
      </c>
      <c r="E181" s="68">
        <f>(E176+E177+E178+E179)/4</f>
        <v>1.1562084072759538</v>
      </c>
      <c r="F181" s="69">
        <f>F175</f>
        <v>215700</v>
      </c>
      <c r="G181" s="69">
        <f>G175</f>
        <v>175000</v>
      </c>
      <c r="H181" s="68">
        <f>G181/F181</f>
        <v>0.8113120074177098</v>
      </c>
      <c r="I181" s="68">
        <f>E181/H181</f>
        <v>1.4251094482824185</v>
      </c>
      <c r="J181" s="68"/>
    </row>
    <row r="182" spans="1:10" ht="16.5" customHeight="1">
      <c r="A182" s="520" t="s">
        <v>14</v>
      </c>
      <c r="B182" s="520"/>
      <c r="C182" s="520"/>
      <c r="D182" s="520"/>
      <c r="E182" s="520"/>
      <c r="F182" s="520"/>
      <c r="G182" s="520"/>
      <c r="H182" s="520"/>
      <c r="I182" s="520"/>
      <c r="J182" s="520"/>
    </row>
    <row r="183" spans="1:10" ht="50.25" customHeight="1">
      <c r="A183" s="29" t="s">
        <v>330</v>
      </c>
      <c r="B183" s="161"/>
      <c r="C183" s="161"/>
      <c r="D183" s="161"/>
      <c r="E183" s="162"/>
      <c r="F183" s="163">
        <v>179894880.16</v>
      </c>
      <c r="G183" s="163">
        <v>176414204.48000002</v>
      </c>
      <c r="H183" s="162">
        <f aca="true" t="shared" si="12" ref="H183:H225">G183/F183</f>
        <v>0.9806516134483414</v>
      </c>
      <c r="I183" s="162"/>
      <c r="J183" s="211" t="s">
        <v>159</v>
      </c>
    </row>
    <row r="184" spans="1:10" ht="76.5">
      <c r="A184" s="27" t="s">
        <v>331</v>
      </c>
      <c r="B184" s="161"/>
      <c r="C184" s="161"/>
      <c r="D184" s="161"/>
      <c r="E184" s="162"/>
      <c r="F184" s="163">
        <v>1089665</v>
      </c>
      <c r="G184" s="163">
        <v>1089665</v>
      </c>
      <c r="H184" s="162">
        <f t="shared" si="12"/>
        <v>1</v>
      </c>
      <c r="I184" s="162"/>
      <c r="J184" s="28"/>
    </row>
    <row r="185" spans="1:10" ht="49.5" customHeight="1">
      <c r="A185" s="1" t="s">
        <v>160</v>
      </c>
      <c r="B185" s="161"/>
      <c r="C185" s="161"/>
      <c r="D185" s="161"/>
      <c r="E185" s="162"/>
      <c r="F185" s="163">
        <v>2762648.31</v>
      </c>
      <c r="G185" s="163">
        <v>2762648.31</v>
      </c>
      <c r="H185" s="162">
        <f t="shared" si="12"/>
        <v>1</v>
      </c>
      <c r="I185" s="162"/>
      <c r="J185" s="28"/>
    </row>
    <row r="186" spans="1:10" ht="38.25">
      <c r="A186" s="1" t="s">
        <v>161</v>
      </c>
      <c r="B186" s="161"/>
      <c r="C186" s="161"/>
      <c r="D186" s="161"/>
      <c r="E186" s="162"/>
      <c r="F186" s="163">
        <f>283421.44</f>
        <v>283421.44</v>
      </c>
      <c r="G186" s="163">
        <f>283421.44</f>
        <v>283421.44</v>
      </c>
      <c r="H186" s="162">
        <f t="shared" si="12"/>
        <v>1</v>
      </c>
      <c r="I186" s="162"/>
      <c r="J186" s="28"/>
    </row>
    <row r="187" spans="1:10" ht="51">
      <c r="A187" s="1" t="s">
        <v>332</v>
      </c>
      <c r="B187" s="161"/>
      <c r="C187" s="161"/>
      <c r="D187" s="161"/>
      <c r="E187" s="162"/>
      <c r="F187" s="163">
        <v>89500</v>
      </c>
      <c r="G187" s="163">
        <v>89500</v>
      </c>
      <c r="H187" s="162">
        <f t="shared" si="12"/>
        <v>1</v>
      </c>
      <c r="I187" s="162"/>
      <c r="J187" s="9"/>
    </row>
    <row r="188" spans="1:10" ht="89.25">
      <c r="A188" s="1" t="s">
        <v>643</v>
      </c>
      <c r="B188" s="161"/>
      <c r="C188" s="161"/>
      <c r="D188" s="161"/>
      <c r="E188" s="162"/>
      <c r="F188" s="163">
        <v>600000</v>
      </c>
      <c r="G188" s="163">
        <v>600000</v>
      </c>
      <c r="H188" s="162">
        <f t="shared" si="12"/>
        <v>1</v>
      </c>
      <c r="I188" s="162"/>
      <c r="J188" s="28"/>
    </row>
    <row r="189" spans="1:10" ht="30" customHeight="1">
      <c r="A189" s="1" t="s">
        <v>162</v>
      </c>
      <c r="B189" s="161"/>
      <c r="C189" s="161"/>
      <c r="D189" s="161"/>
      <c r="E189" s="162"/>
      <c r="F189" s="163">
        <v>900000</v>
      </c>
      <c r="G189" s="163">
        <v>900000</v>
      </c>
      <c r="H189" s="162">
        <f t="shared" si="12"/>
        <v>1</v>
      </c>
      <c r="I189" s="162"/>
      <c r="J189" s="28"/>
    </row>
    <row r="190" spans="1:10" ht="25.5">
      <c r="A190" s="27" t="s">
        <v>333</v>
      </c>
      <c r="B190" s="161"/>
      <c r="C190" s="161"/>
      <c r="D190" s="161"/>
      <c r="E190" s="162"/>
      <c r="F190" s="163">
        <v>901747.82</v>
      </c>
      <c r="G190" s="163">
        <v>901747.82</v>
      </c>
      <c r="H190" s="162">
        <f t="shared" si="12"/>
        <v>1</v>
      </c>
      <c r="I190" s="162"/>
      <c r="J190" s="9"/>
    </row>
    <row r="191" spans="1:10" ht="38.25">
      <c r="A191" s="29" t="s">
        <v>334</v>
      </c>
      <c r="B191" s="161"/>
      <c r="C191" s="161"/>
      <c r="D191" s="161"/>
      <c r="E191" s="162"/>
      <c r="F191" s="163">
        <v>1000000</v>
      </c>
      <c r="G191" s="163">
        <v>1000000</v>
      </c>
      <c r="H191" s="162">
        <f t="shared" si="12"/>
        <v>1</v>
      </c>
      <c r="I191" s="162"/>
      <c r="J191" s="24"/>
    </row>
    <row r="192" spans="1:10" ht="56.25">
      <c r="A192" s="29" t="s">
        <v>135</v>
      </c>
      <c r="B192" s="161"/>
      <c r="C192" s="161"/>
      <c r="D192" s="161"/>
      <c r="E192" s="162"/>
      <c r="F192" s="163">
        <v>95962738.89</v>
      </c>
      <c r="G192" s="163">
        <v>91251090.11000001</v>
      </c>
      <c r="H192" s="162">
        <f t="shared" si="12"/>
        <v>0.9509012681953477</v>
      </c>
      <c r="I192" s="162"/>
      <c r="J192" s="211" t="s">
        <v>159</v>
      </c>
    </row>
    <row r="193" spans="1:10" ht="46.5" customHeight="1">
      <c r="A193" s="29" t="s">
        <v>136</v>
      </c>
      <c r="B193" s="161"/>
      <c r="C193" s="161"/>
      <c r="D193" s="161"/>
      <c r="E193" s="162"/>
      <c r="F193" s="163">
        <v>38337707.26</v>
      </c>
      <c r="G193" s="163">
        <v>37337436.8</v>
      </c>
      <c r="H193" s="162">
        <f t="shared" si="12"/>
        <v>0.9739089650506138</v>
      </c>
      <c r="I193" s="162"/>
      <c r="J193" s="211" t="s">
        <v>159</v>
      </c>
    </row>
    <row r="194" spans="1:10" ht="63.75">
      <c r="A194" s="27" t="s">
        <v>137</v>
      </c>
      <c r="B194" s="161"/>
      <c r="C194" s="161"/>
      <c r="D194" s="161"/>
      <c r="E194" s="162"/>
      <c r="F194" s="163">
        <v>6488155.01</v>
      </c>
      <c r="G194" s="163">
        <v>6273694.46</v>
      </c>
      <c r="H194" s="162">
        <f t="shared" si="12"/>
        <v>0.9669458344214251</v>
      </c>
      <c r="I194" s="162"/>
      <c r="J194" s="211" t="s">
        <v>159</v>
      </c>
    </row>
    <row r="195" spans="1:10" ht="25.5">
      <c r="A195" s="27" t="s">
        <v>605</v>
      </c>
      <c r="B195" s="161"/>
      <c r="C195" s="161"/>
      <c r="D195" s="161"/>
      <c r="E195" s="162"/>
      <c r="F195" s="163">
        <v>14581809.15</v>
      </c>
      <c r="G195" s="163">
        <v>14581809.15</v>
      </c>
      <c r="H195" s="162">
        <f t="shared" si="12"/>
        <v>1</v>
      </c>
      <c r="I195" s="162"/>
      <c r="J195" s="9"/>
    </row>
    <row r="196" spans="1:10" ht="38.25">
      <c r="A196" s="27" t="s">
        <v>163</v>
      </c>
      <c r="B196" s="161"/>
      <c r="C196" s="161"/>
      <c r="D196" s="161"/>
      <c r="E196" s="162"/>
      <c r="F196" s="163">
        <v>283421.44</v>
      </c>
      <c r="G196" s="163">
        <v>283421.44</v>
      </c>
      <c r="H196" s="162">
        <f t="shared" si="12"/>
        <v>1</v>
      </c>
      <c r="I196" s="162"/>
      <c r="J196" s="9"/>
    </row>
    <row r="197" spans="1:10" ht="12.75">
      <c r="A197" s="1" t="s">
        <v>138</v>
      </c>
      <c r="B197" s="161"/>
      <c r="C197" s="161"/>
      <c r="D197" s="161"/>
      <c r="E197" s="162"/>
      <c r="F197" s="163">
        <v>380000</v>
      </c>
      <c r="G197" s="163">
        <v>380000</v>
      </c>
      <c r="H197" s="162">
        <f t="shared" si="12"/>
        <v>1</v>
      </c>
      <c r="I197" s="162"/>
      <c r="J197" s="9"/>
    </row>
    <row r="198" spans="1:10" ht="63.75">
      <c r="A198" s="1" t="s">
        <v>164</v>
      </c>
      <c r="B198" s="161"/>
      <c r="C198" s="161"/>
      <c r="D198" s="161"/>
      <c r="E198" s="162"/>
      <c r="F198" s="163">
        <v>100000</v>
      </c>
      <c r="G198" s="163">
        <v>100000</v>
      </c>
      <c r="H198" s="162">
        <f t="shared" si="12"/>
        <v>1</v>
      </c>
      <c r="I198" s="162"/>
      <c r="J198" s="9"/>
    </row>
    <row r="199" spans="1:10" ht="25.5">
      <c r="A199" s="1" t="s">
        <v>606</v>
      </c>
      <c r="B199" s="161"/>
      <c r="C199" s="161"/>
      <c r="D199" s="161"/>
      <c r="E199" s="162"/>
      <c r="F199" s="163">
        <v>184027.6</v>
      </c>
      <c r="G199" s="163">
        <v>184027.6</v>
      </c>
      <c r="H199" s="162">
        <f t="shared" si="12"/>
        <v>1</v>
      </c>
      <c r="I199" s="162"/>
      <c r="J199" s="23"/>
    </row>
    <row r="200" spans="1:10" ht="78" customHeight="1">
      <c r="A200" s="1" t="s">
        <v>607</v>
      </c>
      <c r="B200" s="161"/>
      <c r="C200" s="161"/>
      <c r="D200" s="161"/>
      <c r="E200" s="162"/>
      <c r="F200" s="163">
        <v>20000</v>
      </c>
      <c r="G200" s="163">
        <v>20000</v>
      </c>
      <c r="H200" s="162">
        <f t="shared" si="12"/>
        <v>1</v>
      </c>
      <c r="I200" s="162"/>
      <c r="J200" s="9"/>
    </row>
    <row r="201" spans="1:10" ht="25.5">
      <c r="A201" s="1" t="s">
        <v>333</v>
      </c>
      <c r="B201" s="161"/>
      <c r="C201" s="161"/>
      <c r="D201" s="161"/>
      <c r="E201" s="162"/>
      <c r="F201" s="163">
        <v>2389128.18</v>
      </c>
      <c r="G201" s="163">
        <v>2389128.18</v>
      </c>
      <c r="H201" s="162">
        <f t="shared" si="12"/>
        <v>1</v>
      </c>
      <c r="I201" s="162"/>
      <c r="J201" s="9"/>
    </row>
    <row r="202" spans="1:10" ht="38.25">
      <c r="A202" s="1" t="s">
        <v>165</v>
      </c>
      <c r="B202" s="161"/>
      <c r="C202" s="161"/>
      <c r="D202" s="161"/>
      <c r="E202" s="162"/>
      <c r="F202" s="163">
        <v>1489029.01</v>
      </c>
      <c r="G202" s="163">
        <v>1489029.01</v>
      </c>
      <c r="H202" s="162">
        <f t="shared" si="12"/>
        <v>1</v>
      </c>
      <c r="I202" s="162"/>
      <c r="J202" s="9"/>
    </row>
    <row r="203" spans="1:10" ht="38.25">
      <c r="A203" s="1" t="s">
        <v>334</v>
      </c>
      <c r="B203" s="161"/>
      <c r="C203" s="161"/>
      <c r="D203" s="161"/>
      <c r="E203" s="162"/>
      <c r="F203" s="163">
        <v>2000000</v>
      </c>
      <c r="G203" s="163">
        <v>2000000</v>
      </c>
      <c r="H203" s="162">
        <f t="shared" si="12"/>
        <v>1</v>
      </c>
      <c r="I203" s="162"/>
      <c r="J203" s="9"/>
    </row>
    <row r="204" spans="1:10" ht="63.75">
      <c r="A204" s="1" t="s">
        <v>166</v>
      </c>
      <c r="B204" s="161"/>
      <c r="C204" s="161"/>
      <c r="D204" s="161"/>
      <c r="E204" s="162"/>
      <c r="F204" s="163">
        <v>4000000</v>
      </c>
      <c r="G204" s="163">
        <v>4000000</v>
      </c>
      <c r="H204" s="162">
        <f t="shared" si="12"/>
        <v>1</v>
      </c>
      <c r="I204" s="162"/>
      <c r="J204" s="9"/>
    </row>
    <row r="205" spans="1:10" ht="25.5">
      <c r="A205" s="27" t="s">
        <v>184</v>
      </c>
      <c r="B205" s="161"/>
      <c r="C205" s="161"/>
      <c r="D205" s="161"/>
      <c r="E205" s="162"/>
      <c r="F205" s="163">
        <v>729920</v>
      </c>
      <c r="G205" s="163">
        <v>729920</v>
      </c>
      <c r="H205" s="162">
        <f t="shared" si="12"/>
        <v>1</v>
      </c>
      <c r="I205" s="162"/>
      <c r="J205" s="9"/>
    </row>
    <row r="206" spans="1:10" ht="75.75" customHeight="1">
      <c r="A206" s="27" t="s">
        <v>139</v>
      </c>
      <c r="B206" s="161"/>
      <c r="C206" s="161"/>
      <c r="D206" s="161"/>
      <c r="E206" s="162"/>
      <c r="F206" s="163">
        <v>820325.32</v>
      </c>
      <c r="G206" s="163">
        <v>766202</v>
      </c>
      <c r="H206" s="162">
        <f t="shared" si="12"/>
        <v>0.9340221267338183</v>
      </c>
      <c r="I206" s="162"/>
      <c r="J206" s="211" t="s">
        <v>655</v>
      </c>
    </row>
    <row r="207" spans="1:10" ht="25.5">
      <c r="A207" s="27" t="s">
        <v>608</v>
      </c>
      <c r="B207" s="161"/>
      <c r="C207" s="161"/>
      <c r="D207" s="161"/>
      <c r="E207" s="162"/>
      <c r="F207" s="381">
        <f>F208+F209+F210</f>
        <v>7665571.42</v>
      </c>
      <c r="G207" s="381">
        <f>G208+G209+G210</f>
        <v>7665571.42</v>
      </c>
      <c r="H207" s="162">
        <f t="shared" si="12"/>
        <v>1</v>
      </c>
      <c r="I207" s="162"/>
      <c r="J207" s="9"/>
    </row>
    <row r="208" spans="1:10" ht="12.75">
      <c r="A208" s="261" t="s">
        <v>249</v>
      </c>
      <c r="B208" s="161"/>
      <c r="C208" s="161"/>
      <c r="D208" s="161"/>
      <c r="E208" s="162"/>
      <c r="F208" s="381">
        <v>6612484.76</v>
      </c>
      <c r="G208" s="381">
        <v>6612484.76</v>
      </c>
      <c r="H208" s="162">
        <f>G208/F208</f>
        <v>1</v>
      </c>
      <c r="I208" s="162"/>
      <c r="J208" s="9"/>
    </row>
    <row r="209" spans="1:10" ht="12.75">
      <c r="A209" s="261" t="s">
        <v>637</v>
      </c>
      <c r="B209" s="161"/>
      <c r="C209" s="161"/>
      <c r="D209" s="161"/>
      <c r="E209" s="162"/>
      <c r="F209" s="381">
        <v>246601.5</v>
      </c>
      <c r="G209" s="381">
        <v>246601.5</v>
      </c>
      <c r="H209" s="162">
        <f aca="true" t="shared" si="13" ref="H209:H214">G209/F209</f>
        <v>1</v>
      </c>
      <c r="I209" s="162"/>
      <c r="J209" s="9"/>
    </row>
    <row r="210" spans="1:10" ht="12.75">
      <c r="A210" s="261" t="s">
        <v>250</v>
      </c>
      <c r="B210" s="161"/>
      <c r="C210" s="161"/>
      <c r="D210" s="161"/>
      <c r="E210" s="162"/>
      <c r="F210" s="381">
        <v>806485.16</v>
      </c>
      <c r="G210" s="381">
        <v>806485.16</v>
      </c>
      <c r="H210" s="162">
        <f t="shared" si="13"/>
        <v>1</v>
      </c>
      <c r="I210" s="162"/>
      <c r="J210" s="9"/>
    </row>
    <row r="211" spans="1:10" ht="63.75">
      <c r="A211" s="27" t="s">
        <v>609</v>
      </c>
      <c r="B211" s="161"/>
      <c r="C211" s="161"/>
      <c r="D211" s="161"/>
      <c r="E211" s="162"/>
      <c r="F211" s="381">
        <f>F212+F213+F214</f>
        <v>642862.31</v>
      </c>
      <c r="G211" s="381">
        <f>G212+G213+G214</f>
        <v>642862.31</v>
      </c>
      <c r="H211" s="162">
        <f t="shared" si="13"/>
        <v>1</v>
      </c>
      <c r="I211" s="162"/>
      <c r="J211" s="9"/>
    </row>
    <row r="212" spans="1:10" ht="12.75">
      <c r="A212" s="261" t="s">
        <v>249</v>
      </c>
      <c r="B212" s="161"/>
      <c r="C212" s="161"/>
      <c r="D212" s="161"/>
      <c r="E212" s="162"/>
      <c r="F212" s="163">
        <v>633255</v>
      </c>
      <c r="G212" s="163">
        <v>633255</v>
      </c>
      <c r="H212" s="162">
        <f t="shared" si="13"/>
        <v>1</v>
      </c>
      <c r="I212" s="162"/>
      <c r="J212" s="9"/>
    </row>
    <row r="213" spans="1:10" ht="12.75">
      <c r="A213" s="261" t="s">
        <v>637</v>
      </c>
      <c r="B213" s="161"/>
      <c r="C213" s="161"/>
      <c r="D213" s="161"/>
      <c r="E213" s="162"/>
      <c r="F213" s="163">
        <v>9180</v>
      </c>
      <c r="G213" s="163">
        <v>9180</v>
      </c>
      <c r="H213" s="162">
        <f t="shared" si="13"/>
        <v>1</v>
      </c>
      <c r="I213" s="162"/>
      <c r="J213" s="9"/>
    </row>
    <row r="214" spans="1:10" ht="12.75">
      <c r="A214" s="261" t="s">
        <v>250</v>
      </c>
      <c r="B214" s="161"/>
      <c r="C214" s="161"/>
      <c r="D214" s="161"/>
      <c r="E214" s="162"/>
      <c r="F214" s="163">
        <v>427.31</v>
      </c>
      <c r="G214" s="163">
        <v>427.31</v>
      </c>
      <c r="H214" s="162">
        <f t="shared" si="13"/>
        <v>1</v>
      </c>
      <c r="I214" s="162"/>
      <c r="J214" s="9"/>
    </row>
    <row r="215" spans="1:10" ht="48" customHeight="1">
      <c r="A215" s="27" t="s">
        <v>140</v>
      </c>
      <c r="B215" s="161"/>
      <c r="C215" s="161"/>
      <c r="D215" s="161"/>
      <c r="E215" s="162"/>
      <c r="F215" s="163">
        <v>13143271.75</v>
      </c>
      <c r="G215" s="163">
        <v>12007475.51</v>
      </c>
      <c r="H215" s="162">
        <f t="shared" si="12"/>
        <v>0.9135834469830543</v>
      </c>
      <c r="I215" s="162"/>
      <c r="J215" s="211" t="s">
        <v>159</v>
      </c>
    </row>
    <row r="216" spans="1:10" ht="76.5">
      <c r="A216" s="27" t="s">
        <v>141</v>
      </c>
      <c r="B216" s="161"/>
      <c r="C216" s="161"/>
      <c r="D216" s="161"/>
      <c r="E216" s="162"/>
      <c r="F216" s="163">
        <v>2502294.56</v>
      </c>
      <c r="G216" s="163">
        <v>2359853.41</v>
      </c>
      <c r="H216" s="162">
        <f t="shared" si="12"/>
        <v>0.9430757864094146</v>
      </c>
      <c r="I216" s="162"/>
      <c r="J216" s="211" t="s">
        <v>159</v>
      </c>
    </row>
    <row r="217" spans="1:10" ht="140.25">
      <c r="A217" s="30" t="s">
        <v>656</v>
      </c>
      <c r="B217" s="161"/>
      <c r="C217" s="161"/>
      <c r="D217" s="161"/>
      <c r="E217" s="162"/>
      <c r="F217" s="163">
        <v>20020</v>
      </c>
      <c r="G217" s="163">
        <v>20020</v>
      </c>
      <c r="H217" s="162">
        <f t="shared" si="12"/>
        <v>1</v>
      </c>
      <c r="I217" s="162"/>
      <c r="J217" s="9"/>
    </row>
    <row r="218" spans="1:10" ht="51">
      <c r="A218" s="30" t="s">
        <v>657</v>
      </c>
      <c r="B218" s="161"/>
      <c r="C218" s="161"/>
      <c r="D218" s="161"/>
      <c r="E218" s="162"/>
      <c r="F218" s="163">
        <v>2118406.12</v>
      </c>
      <c r="G218" s="163">
        <v>2118406.12</v>
      </c>
      <c r="H218" s="162">
        <f t="shared" si="12"/>
        <v>1</v>
      </c>
      <c r="I218" s="162"/>
      <c r="J218" s="9"/>
    </row>
    <row r="219" spans="1:10" ht="293.25">
      <c r="A219" s="27" t="s">
        <v>629</v>
      </c>
      <c r="B219" s="161"/>
      <c r="C219" s="161"/>
      <c r="D219" s="161"/>
      <c r="E219" s="162"/>
      <c r="F219" s="163">
        <v>20000</v>
      </c>
      <c r="G219" s="163">
        <v>20000</v>
      </c>
      <c r="H219" s="162">
        <f t="shared" si="12"/>
        <v>1</v>
      </c>
      <c r="I219" s="162"/>
      <c r="J219" s="9"/>
    </row>
    <row r="220" spans="1:10" ht="51.75" customHeight="1">
      <c r="A220" s="27" t="s">
        <v>658</v>
      </c>
      <c r="B220" s="161"/>
      <c r="C220" s="161"/>
      <c r="D220" s="161"/>
      <c r="E220" s="162"/>
      <c r="F220" s="163">
        <v>20908825.64</v>
      </c>
      <c r="G220" s="163">
        <v>20447562.27</v>
      </c>
      <c r="H220" s="162">
        <f t="shared" si="12"/>
        <v>0.9779392980771922</v>
      </c>
      <c r="I220" s="162"/>
      <c r="J220" s="45" t="s">
        <v>159</v>
      </c>
    </row>
    <row r="221" spans="1:10" ht="81.75" customHeight="1">
      <c r="A221" s="27" t="s">
        <v>659</v>
      </c>
      <c r="B221" s="161"/>
      <c r="C221" s="161"/>
      <c r="D221" s="161"/>
      <c r="E221" s="162"/>
      <c r="F221" s="163">
        <v>21618375.63</v>
      </c>
      <c r="G221" s="163">
        <v>20876149</v>
      </c>
      <c r="H221" s="162">
        <f t="shared" si="12"/>
        <v>0.9656668640279334</v>
      </c>
      <c r="I221" s="162"/>
      <c r="J221" s="45" t="s">
        <v>660</v>
      </c>
    </row>
    <row r="222" spans="1:10" ht="76.5">
      <c r="A222" s="27" t="s">
        <v>142</v>
      </c>
      <c r="B222" s="161"/>
      <c r="C222" s="161"/>
      <c r="D222" s="161"/>
      <c r="E222" s="162"/>
      <c r="F222" s="163">
        <v>2549540.75</v>
      </c>
      <c r="G222" s="163">
        <v>2454154.2800000003</v>
      </c>
      <c r="H222" s="162">
        <f t="shared" si="12"/>
        <v>0.9625868031330742</v>
      </c>
      <c r="I222" s="162"/>
      <c r="J222" s="211" t="s">
        <v>661</v>
      </c>
    </row>
    <row r="223" spans="1:10" ht="51">
      <c r="A223" s="27" t="s">
        <v>143</v>
      </c>
      <c r="B223" s="161"/>
      <c r="C223" s="161"/>
      <c r="D223" s="161"/>
      <c r="E223" s="162"/>
      <c r="F223" s="163">
        <v>166500</v>
      </c>
      <c r="G223" s="163">
        <v>166300</v>
      </c>
      <c r="H223" s="162">
        <f t="shared" si="12"/>
        <v>0.9987987987987988</v>
      </c>
      <c r="I223" s="162"/>
      <c r="J223" s="211" t="s">
        <v>661</v>
      </c>
    </row>
    <row r="224" spans="1:10" ht="51">
      <c r="A224" s="27" t="s">
        <v>56</v>
      </c>
      <c r="B224" s="161"/>
      <c r="C224" s="161"/>
      <c r="D224" s="161"/>
      <c r="E224" s="162"/>
      <c r="F224" s="163">
        <v>114960</v>
      </c>
      <c r="G224" s="163">
        <v>114960</v>
      </c>
      <c r="H224" s="162">
        <f t="shared" si="12"/>
        <v>1</v>
      </c>
      <c r="I224" s="162"/>
      <c r="J224" s="45"/>
    </row>
    <row r="225" spans="1:10" ht="25.5">
      <c r="A225" s="27" t="s">
        <v>662</v>
      </c>
      <c r="B225" s="161"/>
      <c r="C225" s="161"/>
      <c r="D225" s="161"/>
      <c r="E225" s="162"/>
      <c r="F225" s="163">
        <v>616819.94</v>
      </c>
      <c r="G225" s="163">
        <v>616819.94</v>
      </c>
      <c r="H225" s="162">
        <f t="shared" si="12"/>
        <v>1</v>
      </c>
      <c r="I225" s="162"/>
      <c r="J225" s="45"/>
    </row>
    <row r="226" spans="1:10" ht="46.5" customHeight="1">
      <c r="A226" s="212" t="s">
        <v>663</v>
      </c>
      <c r="B226" s="165">
        <v>95</v>
      </c>
      <c r="C226" s="165">
        <v>96.7</v>
      </c>
      <c r="D226" s="25">
        <f>C226-B226</f>
        <v>1.7000000000000028</v>
      </c>
      <c r="E226" s="26">
        <f>C226/B226</f>
        <v>1.0178947368421052</v>
      </c>
      <c r="F226" s="163"/>
      <c r="G226" s="163"/>
      <c r="H226" s="162"/>
      <c r="I226" s="162"/>
      <c r="J226" s="213" t="s">
        <v>664</v>
      </c>
    </row>
    <row r="227" spans="1:10" ht="34.5" customHeight="1">
      <c r="A227" s="212" t="s">
        <v>630</v>
      </c>
      <c r="B227" s="165">
        <v>3576</v>
      </c>
      <c r="C227" s="165">
        <v>3653</v>
      </c>
      <c r="D227" s="25">
        <f aca="true" t="shared" si="14" ref="D227:D284">C227-B227</f>
        <v>77</v>
      </c>
      <c r="E227" s="26">
        <f aca="true" t="shared" si="15" ref="E227:E290">C227/B227</f>
        <v>1.0215324384787472</v>
      </c>
      <c r="F227" s="163"/>
      <c r="G227" s="163"/>
      <c r="H227" s="162"/>
      <c r="I227" s="162"/>
      <c r="J227" s="211" t="s">
        <v>661</v>
      </c>
    </row>
    <row r="228" spans="1:10" ht="89.25">
      <c r="A228" s="164" t="s">
        <v>631</v>
      </c>
      <c r="B228" s="165">
        <v>100</v>
      </c>
      <c r="C228" s="165">
        <v>100</v>
      </c>
      <c r="D228" s="25">
        <f t="shared" si="14"/>
        <v>0</v>
      </c>
      <c r="E228" s="26">
        <f t="shared" si="15"/>
        <v>1</v>
      </c>
      <c r="F228" s="163"/>
      <c r="G228" s="163"/>
      <c r="H228" s="162"/>
      <c r="I228" s="162"/>
      <c r="J228" s="9"/>
    </row>
    <row r="229" spans="1:10" ht="38.25">
      <c r="A229" s="164" t="s">
        <v>632</v>
      </c>
      <c r="B229" s="165">
        <v>487</v>
      </c>
      <c r="C229" s="165">
        <v>567</v>
      </c>
      <c r="D229" s="25">
        <f t="shared" si="14"/>
        <v>80</v>
      </c>
      <c r="E229" s="26">
        <f t="shared" si="15"/>
        <v>1.164271047227926</v>
      </c>
      <c r="F229" s="163"/>
      <c r="G229" s="163"/>
      <c r="H229" s="162"/>
      <c r="I229" s="162"/>
      <c r="J229" s="213" t="s">
        <v>665</v>
      </c>
    </row>
    <row r="230" spans="1:10" ht="25.5">
      <c r="A230" s="164" t="s">
        <v>152</v>
      </c>
      <c r="B230" s="165">
        <v>100</v>
      </c>
      <c r="C230" s="165">
        <v>100</v>
      </c>
      <c r="D230" s="25">
        <f t="shared" si="14"/>
        <v>0</v>
      </c>
      <c r="E230" s="26">
        <f t="shared" si="15"/>
        <v>1</v>
      </c>
      <c r="F230" s="163"/>
      <c r="G230" s="163"/>
      <c r="H230" s="162"/>
      <c r="I230" s="162"/>
      <c r="J230" s="9"/>
    </row>
    <row r="231" spans="1:10" ht="51">
      <c r="A231" s="164" t="s">
        <v>153</v>
      </c>
      <c r="B231" s="165">
        <v>2</v>
      </c>
      <c r="C231" s="165">
        <v>2</v>
      </c>
      <c r="D231" s="25">
        <f t="shared" si="14"/>
        <v>0</v>
      </c>
      <c r="E231" s="26">
        <v>1</v>
      </c>
      <c r="F231" s="163"/>
      <c r="G231" s="163"/>
      <c r="H231" s="162"/>
      <c r="I231" s="162"/>
      <c r="J231" s="9"/>
    </row>
    <row r="232" spans="1:10" ht="38.25">
      <c r="A232" s="164" t="s">
        <v>666</v>
      </c>
      <c r="B232" s="165">
        <v>0</v>
      </c>
      <c r="C232" s="165">
        <v>0</v>
      </c>
      <c r="D232" s="25">
        <f t="shared" si="14"/>
        <v>0</v>
      </c>
      <c r="E232" s="26">
        <v>1</v>
      </c>
      <c r="F232" s="163"/>
      <c r="G232" s="163"/>
      <c r="H232" s="162"/>
      <c r="I232" s="162"/>
      <c r="J232" s="9"/>
    </row>
    <row r="233" spans="1:10" ht="38.25">
      <c r="A233" s="164" t="s">
        <v>251</v>
      </c>
      <c r="B233" s="165">
        <v>100</v>
      </c>
      <c r="C233" s="165">
        <v>100</v>
      </c>
      <c r="D233" s="25">
        <f t="shared" si="14"/>
        <v>0</v>
      </c>
      <c r="E233" s="26">
        <f t="shared" si="15"/>
        <v>1</v>
      </c>
      <c r="F233" s="163"/>
      <c r="G233" s="163"/>
      <c r="H233" s="162"/>
      <c r="I233" s="162"/>
      <c r="J233" s="9"/>
    </row>
    <row r="234" spans="1:10" ht="25.5">
      <c r="A234" s="164" t="s">
        <v>667</v>
      </c>
      <c r="B234" s="165">
        <v>69.5</v>
      </c>
      <c r="C234" s="166">
        <v>68.2</v>
      </c>
      <c r="D234" s="25">
        <f t="shared" si="14"/>
        <v>-1.2999999999999972</v>
      </c>
      <c r="E234" s="26">
        <f t="shared" si="15"/>
        <v>0.981294964028777</v>
      </c>
      <c r="F234" s="163"/>
      <c r="G234" s="163"/>
      <c r="H234" s="162"/>
      <c r="I234" s="162"/>
      <c r="J234" s="9"/>
    </row>
    <row r="235" spans="1:10" ht="12.75">
      <c r="A235" s="164" t="s">
        <v>668</v>
      </c>
      <c r="B235" s="165">
        <v>0</v>
      </c>
      <c r="C235" s="167">
        <v>0</v>
      </c>
      <c r="D235" s="25">
        <f t="shared" si="14"/>
        <v>0</v>
      </c>
      <c r="E235" s="26">
        <v>1</v>
      </c>
      <c r="F235" s="163"/>
      <c r="G235" s="163"/>
      <c r="H235" s="162"/>
      <c r="I235" s="162"/>
      <c r="J235" s="9"/>
    </row>
    <row r="236" spans="1:10" ht="63.75">
      <c r="A236" s="212" t="s">
        <v>204</v>
      </c>
      <c r="B236" s="165">
        <v>240</v>
      </c>
      <c r="C236" s="165">
        <v>257</v>
      </c>
      <c r="D236" s="25">
        <f t="shared" si="14"/>
        <v>17</v>
      </c>
      <c r="E236" s="26">
        <f t="shared" si="15"/>
        <v>1.0708333333333333</v>
      </c>
      <c r="F236" s="163"/>
      <c r="G236" s="163"/>
      <c r="H236" s="162"/>
      <c r="I236" s="162"/>
      <c r="J236" s="214" t="s">
        <v>205</v>
      </c>
    </row>
    <row r="237" spans="1:10" ht="47.25" customHeight="1">
      <c r="A237" s="382" t="s">
        <v>201</v>
      </c>
      <c r="B237" s="167">
        <v>8</v>
      </c>
      <c r="C237" s="167">
        <v>8</v>
      </c>
      <c r="D237" s="456">
        <f t="shared" si="14"/>
        <v>0</v>
      </c>
      <c r="E237" s="94">
        <f t="shared" si="15"/>
        <v>1</v>
      </c>
      <c r="F237" s="381"/>
      <c r="G237" s="381"/>
      <c r="H237" s="383"/>
      <c r="I237" s="383"/>
      <c r="J237" s="75"/>
    </row>
    <row r="238" spans="1:10" ht="25.5">
      <c r="A238" s="164" t="s">
        <v>206</v>
      </c>
      <c r="B238" s="165">
        <v>1</v>
      </c>
      <c r="C238" s="165">
        <v>1</v>
      </c>
      <c r="D238" s="25">
        <f t="shared" si="14"/>
        <v>0</v>
      </c>
      <c r="E238" s="26">
        <f t="shared" si="15"/>
        <v>1</v>
      </c>
      <c r="F238" s="163"/>
      <c r="G238" s="163"/>
      <c r="H238" s="162"/>
      <c r="I238" s="162"/>
      <c r="J238" s="9"/>
    </row>
    <row r="239" spans="1:10" ht="216.75">
      <c r="A239" s="164" t="s">
        <v>207</v>
      </c>
      <c r="B239" s="165">
        <v>0</v>
      </c>
      <c r="C239" s="165">
        <v>0</v>
      </c>
      <c r="D239" s="25">
        <f t="shared" si="14"/>
        <v>0</v>
      </c>
      <c r="E239" s="26">
        <v>1</v>
      </c>
      <c r="F239" s="163"/>
      <c r="G239" s="163"/>
      <c r="H239" s="162"/>
      <c r="I239" s="162"/>
      <c r="J239" s="9"/>
    </row>
    <row r="240" spans="1:10" ht="25.5" customHeight="1">
      <c r="A240" s="164" t="s">
        <v>601</v>
      </c>
      <c r="B240" s="165">
        <v>5078</v>
      </c>
      <c r="C240" s="9">
        <v>5164</v>
      </c>
      <c r="D240" s="25">
        <f t="shared" si="14"/>
        <v>86</v>
      </c>
      <c r="E240" s="26">
        <f t="shared" si="15"/>
        <v>1.0169358014966523</v>
      </c>
      <c r="F240" s="163"/>
      <c r="G240" s="163"/>
      <c r="H240" s="162"/>
      <c r="I240" s="162"/>
      <c r="J240" s="211"/>
    </row>
    <row r="241" spans="1:10" ht="45">
      <c r="A241" s="164" t="s">
        <v>208</v>
      </c>
      <c r="B241" s="165">
        <v>1649</v>
      </c>
      <c r="C241" s="9">
        <v>1696</v>
      </c>
      <c r="D241" s="25">
        <f t="shared" si="14"/>
        <v>47</v>
      </c>
      <c r="E241" s="26">
        <f t="shared" si="15"/>
        <v>1.0285021224984838</v>
      </c>
      <c r="F241" s="163"/>
      <c r="G241" s="163"/>
      <c r="H241" s="162"/>
      <c r="I241" s="162"/>
      <c r="J241" s="211" t="s">
        <v>209</v>
      </c>
    </row>
    <row r="242" spans="1:10" ht="61.5" customHeight="1">
      <c r="A242" s="164" t="s">
        <v>252</v>
      </c>
      <c r="B242" s="165">
        <v>40.56</v>
      </c>
      <c r="C242" s="168">
        <v>52.8</v>
      </c>
      <c r="D242" s="457">
        <f t="shared" si="14"/>
        <v>12.239999999999995</v>
      </c>
      <c r="E242" s="26">
        <f t="shared" si="15"/>
        <v>1.3017751479289938</v>
      </c>
      <c r="F242" s="163"/>
      <c r="G242" s="163"/>
      <c r="H242" s="162"/>
      <c r="I242" s="162"/>
      <c r="J242" s="21"/>
    </row>
    <row r="243" spans="1:10" ht="38.25">
      <c r="A243" s="169" t="s">
        <v>210</v>
      </c>
      <c r="B243" s="135">
        <v>100</v>
      </c>
      <c r="C243" s="9">
        <v>100</v>
      </c>
      <c r="D243" s="25">
        <f t="shared" si="14"/>
        <v>0</v>
      </c>
      <c r="E243" s="26">
        <f t="shared" si="15"/>
        <v>1</v>
      </c>
      <c r="F243" s="163"/>
      <c r="G243" s="163"/>
      <c r="H243" s="162"/>
      <c r="I243" s="162"/>
      <c r="J243" s="21"/>
    </row>
    <row r="244" spans="1:10" ht="51">
      <c r="A244" s="164" t="s">
        <v>276</v>
      </c>
      <c r="B244" s="165">
        <v>5</v>
      </c>
      <c r="C244" s="9">
        <v>5</v>
      </c>
      <c r="D244" s="25">
        <f t="shared" si="14"/>
        <v>0</v>
      </c>
      <c r="E244" s="26">
        <f t="shared" si="15"/>
        <v>1</v>
      </c>
      <c r="F244" s="163"/>
      <c r="G244" s="163"/>
      <c r="H244" s="162"/>
      <c r="I244" s="162"/>
      <c r="J244" s="21"/>
    </row>
    <row r="245" spans="1:10" ht="38.25">
      <c r="A245" s="164" t="s">
        <v>666</v>
      </c>
      <c r="B245" s="165">
        <v>0</v>
      </c>
      <c r="C245" s="9">
        <v>0</v>
      </c>
      <c r="D245" s="25">
        <f t="shared" si="14"/>
        <v>0</v>
      </c>
      <c r="E245" s="26">
        <v>1</v>
      </c>
      <c r="F245" s="163"/>
      <c r="G245" s="163"/>
      <c r="H245" s="162"/>
      <c r="I245" s="162"/>
      <c r="J245" s="21"/>
    </row>
    <row r="246" spans="1:10" ht="25.5">
      <c r="A246" s="164" t="s">
        <v>253</v>
      </c>
      <c r="B246" s="167">
        <v>130</v>
      </c>
      <c r="C246" s="75">
        <v>132</v>
      </c>
      <c r="D246" s="25">
        <f t="shared" si="14"/>
        <v>2</v>
      </c>
      <c r="E246" s="26">
        <f t="shared" si="15"/>
        <v>1.0153846153846153</v>
      </c>
      <c r="F246" s="163"/>
      <c r="G246" s="163"/>
      <c r="H246" s="162"/>
      <c r="I246" s="162"/>
      <c r="J246" s="21"/>
    </row>
    <row r="247" spans="1:10" ht="12.75">
      <c r="A247" s="164" t="s">
        <v>254</v>
      </c>
      <c r="B247" s="165">
        <v>1</v>
      </c>
      <c r="C247" s="9">
        <v>1</v>
      </c>
      <c r="D247" s="25">
        <f t="shared" si="14"/>
        <v>0</v>
      </c>
      <c r="E247" s="26">
        <f t="shared" si="15"/>
        <v>1</v>
      </c>
      <c r="F247" s="163"/>
      <c r="G247" s="163"/>
      <c r="H247" s="162"/>
      <c r="I247" s="162"/>
      <c r="J247" s="21"/>
    </row>
    <row r="248" spans="1:10" ht="30.75" customHeight="1">
      <c r="A248" s="212" t="s">
        <v>602</v>
      </c>
      <c r="B248" s="165">
        <v>82.83</v>
      </c>
      <c r="C248" s="9">
        <v>98.31</v>
      </c>
      <c r="D248" s="25">
        <f t="shared" si="14"/>
        <v>15.480000000000004</v>
      </c>
      <c r="E248" s="26">
        <f t="shared" si="15"/>
        <v>1.1868888084027527</v>
      </c>
      <c r="F248" s="163"/>
      <c r="G248" s="163"/>
      <c r="H248" s="162"/>
      <c r="I248" s="162"/>
      <c r="J248" s="211" t="s">
        <v>277</v>
      </c>
    </row>
    <row r="249" spans="1:10" ht="38.25">
      <c r="A249" s="169" t="s">
        <v>278</v>
      </c>
      <c r="B249" s="135">
        <v>90</v>
      </c>
      <c r="C249" s="9">
        <v>86.9</v>
      </c>
      <c r="D249" s="25">
        <f t="shared" si="14"/>
        <v>-3.0999999999999943</v>
      </c>
      <c r="E249" s="26">
        <f t="shared" si="15"/>
        <v>0.9655555555555556</v>
      </c>
      <c r="F249" s="163"/>
      <c r="G249" s="163"/>
      <c r="H249" s="162"/>
      <c r="I249" s="162"/>
      <c r="J249" s="21"/>
    </row>
    <row r="250" spans="1:10" ht="76.5">
      <c r="A250" s="164" t="s">
        <v>279</v>
      </c>
      <c r="B250" s="165">
        <v>100</v>
      </c>
      <c r="C250" s="9">
        <v>100</v>
      </c>
      <c r="D250" s="25">
        <f t="shared" si="14"/>
        <v>0</v>
      </c>
      <c r="E250" s="26">
        <f t="shared" si="15"/>
        <v>1</v>
      </c>
      <c r="F250" s="163"/>
      <c r="G250" s="163"/>
      <c r="H250" s="162"/>
      <c r="I250" s="162"/>
      <c r="J250" s="21"/>
    </row>
    <row r="251" spans="1:10" ht="63.75">
      <c r="A251" s="164" t="s">
        <v>255</v>
      </c>
      <c r="B251" s="165">
        <v>100</v>
      </c>
      <c r="C251" s="9">
        <v>100</v>
      </c>
      <c r="D251" s="25">
        <f t="shared" si="14"/>
        <v>0</v>
      </c>
      <c r="E251" s="26">
        <f t="shared" si="15"/>
        <v>1</v>
      </c>
      <c r="F251" s="163"/>
      <c r="G251" s="163"/>
      <c r="H251" s="162"/>
      <c r="I251" s="162"/>
      <c r="J251" s="21"/>
    </row>
    <row r="252" spans="1:10" ht="25.5">
      <c r="A252" s="164" t="s">
        <v>280</v>
      </c>
      <c r="B252" s="165">
        <v>100</v>
      </c>
      <c r="C252" s="9">
        <v>100</v>
      </c>
      <c r="D252" s="25">
        <f t="shared" si="14"/>
        <v>0</v>
      </c>
      <c r="E252" s="26">
        <f t="shared" si="15"/>
        <v>1</v>
      </c>
      <c r="F252" s="163"/>
      <c r="G252" s="163"/>
      <c r="H252" s="162"/>
      <c r="I252" s="162"/>
      <c r="J252" s="21"/>
    </row>
    <row r="253" spans="1:10" ht="102">
      <c r="A253" s="164" t="s">
        <v>216</v>
      </c>
      <c r="B253" s="165">
        <v>100</v>
      </c>
      <c r="C253" s="9">
        <v>100</v>
      </c>
      <c r="D253" s="25">
        <f t="shared" si="14"/>
        <v>0</v>
      </c>
      <c r="E253" s="26">
        <f t="shared" si="15"/>
        <v>1</v>
      </c>
      <c r="F253" s="163"/>
      <c r="G253" s="163"/>
      <c r="H253" s="162"/>
      <c r="I253" s="162"/>
      <c r="J253" s="21"/>
    </row>
    <row r="254" spans="1:10" ht="99" customHeight="1">
      <c r="A254" s="185" t="s">
        <v>427</v>
      </c>
      <c r="B254" s="170">
        <v>11.11</v>
      </c>
      <c r="C254" s="9">
        <v>11.11</v>
      </c>
      <c r="D254" s="25">
        <f t="shared" si="14"/>
        <v>0</v>
      </c>
      <c r="E254" s="26">
        <f t="shared" si="15"/>
        <v>1</v>
      </c>
      <c r="F254" s="163"/>
      <c r="G254" s="163"/>
      <c r="H254" s="162"/>
      <c r="I254" s="162"/>
      <c r="J254" s="21"/>
    </row>
    <row r="255" spans="1:10" ht="51">
      <c r="A255" s="164" t="s">
        <v>217</v>
      </c>
      <c r="B255" s="165">
        <v>73</v>
      </c>
      <c r="C255" s="9">
        <v>80.1</v>
      </c>
      <c r="D255" s="25">
        <f t="shared" si="14"/>
        <v>7.099999999999994</v>
      </c>
      <c r="E255" s="26">
        <f t="shared" si="15"/>
        <v>1.0972602739726027</v>
      </c>
      <c r="F255" s="163"/>
      <c r="G255" s="163"/>
      <c r="H255" s="162"/>
      <c r="I255" s="162"/>
      <c r="J255" s="211" t="s">
        <v>119</v>
      </c>
    </row>
    <row r="256" spans="1:10" ht="76.5">
      <c r="A256" s="164" t="s">
        <v>428</v>
      </c>
      <c r="B256" s="165">
        <v>100</v>
      </c>
      <c r="C256" s="9">
        <v>100</v>
      </c>
      <c r="D256" s="25">
        <f t="shared" si="14"/>
        <v>0</v>
      </c>
      <c r="E256" s="26">
        <f t="shared" si="15"/>
        <v>1</v>
      </c>
      <c r="F256" s="163"/>
      <c r="G256" s="163"/>
      <c r="H256" s="162"/>
      <c r="I256" s="162"/>
      <c r="J256" s="21"/>
    </row>
    <row r="257" spans="1:10" ht="237.75" customHeight="1">
      <c r="A257" s="185" t="s">
        <v>281</v>
      </c>
      <c r="B257" s="165">
        <v>100</v>
      </c>
      <c r="C257" s="9">
        <v>100</v>
      </c>
      <c r="D257" s="25">
        <f t="shared" si="14"/>
        <v>0</v>
      </c>
      <c r="E257" s="26">
        <f t="shared" si="15"/>
        <v>1</v>
      </c>
      <c r="F257" s="163"/>
      <c r="G257" s="163"/>
      <c r="H257" s="162"/>
      <c r="I257" s="162"/>
      <c r="J257" s="21"/>
    </row>
    <row r="258" spans="1:10" ht="51">
      <c r="A258" s="164" t="s">
        <v>282</v>
      </c>
      <c r="B258" s="165">
        <v>100</v>
      </c>
      <c r="C258" s="9">
        <v>100</v>
      </c>
      <c r="D258" s="25">
        <f t="shared" si="14"/>
        <v>0</v>
      </c>
      <c r="E258" s="26">
        <f t="shared" si="15"/>
        <v>1</v>
      </c>
      <c r="F258" s="163"/>
      <c r="G258" s="163"/>
      <c r="H258" s="162"/>
      <c r="I258" s="162"/>
      <c r="J258" s="21"/>
    </row>
    <row r="259" spans="1:10" ht="38.25">
      <c r="A259" s="169" t="s">
        <v>283</v>
      </c>
      <c r="B259" s="165">
        <v>90</v>
      </c>
      <c r="C259" s="9">
        <v>92</v>
      </c>
      <c r="D259" s="25">
        <f t="shared" si="14"/>
        <v>2</v>
      </c>
      <c r="E259" s="26">
        <f t="shared" si="15"/>
        <v>1.0222222222222221</v>
      </c>
      <c r="F259" s="163"/>
      <c r="G259" s="163"/>
      <c r="H259" s="162"/>
      <c r="I259" s="162"/>
      <c r="J259" s="211" t="s">
        <v>284</v>
      </c>
    </row>
    <row r="260" spans="1:10" ht="63.75">
      <c r="A260" s="185" t="s">
        <v>429</v>
      </c>
      <c r="B260" s="165">
        <v>76.6</v>
      </c>
      <c r="C260" s="171">
        <v>76.6</v>
      </c>
      <c r="D260" s="25">
        <f t="shared" si="14"/>
        <v>0</v>
      </c>
      <c r="E260" s="26">
        <f t="shared" si="15"/>
        <v>1</v>
      </c>
      <c r="F260" s="163"/>
      <c r="G260" s="163"/>
      <c r="H260" s="162"/>
      <c r="I260" s="162"/>
      <c r="J260" s="21"/>
    </row>
    <row r="261" spans="1:10" ht="76.5">
      <c r="A261" s="164" t="s">
        <v>285</v>
      </c>
      <c r="B261" s="165">
        <v>11.11</v>
      </c>
      <c r="C261" s="168">
        <v>11.11</v>
      </c>
      <c r="D261" s="25">
        <f t="shared" si="14"/>
        <v>0</v>
      </c>
      <c r="E261" s="26">
        <v>1</v>
      </c>
      <c r="F261" s="163"/>
      <c r="G261" s="163"/>
      <c r="H261" s="162"/>
      <c r="I261" s="162"/>
      <c r="J261" s="21"/>
    </row>
    <row r="262" spans="1:10" ht="12.75">
      <c r="A262" s="164" t="s">
        <v>286</v>
      </c>
      <c r="B262" s="165">
        <v>75</v>
      </c>
      <c r="C262" s="9">
        <v>75</v>
      </c>
      <c r="D262" s="25">
        <f t="shared" si="14"/>
        <v>0</v>
      </c>
      <c r="E262" s="26">
        <f t="shared" si="15"/>
        <v>1</v>
      </c>
      <c r="F262" s="163"/>
      <c r="G262" s="163"/>
      <c r="H262" s="162"/>
      <c r="I262" s="162"/>
      <c r="J262" s="21"/>
    </row>
    <row r="263" spans="1:10" ht="76.5">
      <c r="A263" s="164" t="s">
        <v>430</v>
      </c>
      <c r="B263" s="165">
        <v>100</v>
      </c>
      <c r="C263" s="9">
        <v>100</v>
      </c>
      <c r="D263" s="25">
        <f t="shared" si="14"/>
        <v>0</v>
      </c>
      <c r="E263" s="26">
        <f t="shared" si="15"/>
        <v>1</v>
      </c>
      <c r="F263" s="163"/>
      <c r="G263" s="163"/>
      <c r="H263" s="162"/>
      <c r="I263" s="162"/>
      <c r="J263" s="21"/>
    </row>
    <row r="264" spans="1:10" ht="255">
      <c r="A264" s="185" t="s">
        <v>287</v>
      </c>
      <c r="B264" s="165">
        <v>0</v>
      </c>
      <c r="C264" s="9">
        <v>0</v>
      </c>
      <c r="D264" s="25">
        <f t="shared" si="14"/>
        <v>0</v>
      </c>
      <c r="E264" s="26">
        <v>1</v>
      </c>
      <c r="F264" s="163"/>
      <c r="G264" s="163"/>
      <c r="H264" s="162"/>
      <c r="I264" s="162"/>
      <c r="J264" s="21"/>
    </row>
    <row r="265" spans="1:10" ht="25.5">
      <c r="A265" s="185" t="s">
        <v>288</v>
      </c>
      <c r="B265" s="165">
        <v>1</v>
      </c>
      <c r="C265" s="9">
        <v>1</v>
      </c>
      <c r="D265" s="25">
        <f t="shared" si="14"/>
        <v>0</v>
      </c>
      <c r="E265" s="26">
        <f t="shared" si="15"/>
        <v>1</v>
      </c>
      <c r="F265" s="163"/>
      <c r="G265" s="163"/>
      <c r="H265" s="162"/>
      <c r="I265" s="162"/>
      <c r="J265" s="21"/>
    </row>
    <row r="266" spans="1:10" ht="45">
      <c r="A266" s="185" t="s">
        <v>289</v>
      </c>
      <c r="B266" s="165">
        <v>70</v>
      </c>
      <c r="C266" s="9">
        <v>74.36</v>
      </c>
      <c r="D266" s="25">
        <f t="shared" si="14"/>
        <v>4.359999999999999</v>
      </c>
      <c r="E266" s="26">
        <f t="shared" si="15"/>
        <v>1.0622857142857143</v>
      </c>
      <c r="F266" s="163"/>
      <c r="G266" s="163"/>
      <c r="H266" s="162"/>
      <c r="I266" s="162"/>
      <c r="J266" s="211" t="s">
        <v>290</v>
      </c>
    </row>
    <row r="267" spans="1:10" ht="89.25">
      <c r="A267" s="399" t="s">
        <v>291</v>
      </c>
      <c r="B267" s="165">
        <v>100</v>
      </c>
      <c r="C267" s="9">
        <v>100</v>
      </c>
      <c r="D267" s="25">
        <f t="shared" si="14"/>
        <v>0</v>
      </c>
      <c r="E267" s="26">
        <f t="shared" si="15"/>
        <v>1</v>
      </c>
      <c r="F267" s="163"/>
      <c r="G267" s="163"/>
      <c r="H267" s="162"/>
      <c r="I267" s="162"/>
      <c r="J267" s="21"/>
    </row>
    <row r="268" spans="1:10" ht="89.25">
      <c r="A268" s="399" t="s">
        <v>292</v>
      </c>
      <c r="B268" s="165">
        <v>33.3</v>
      </c>
      <c r="C268" s="9">
        <v>33.3</v>
      </c>
      <c r="D268" s="25">
        <f t="shared" si="14"/>
        <v>0</v>
      </c>
      <c r="E268" s="26">
        <f t="shared" si="15"/>
        <v>1</v>
      </c>
      <c r="F268" s="163"/>
      <c r="G268" s="163"/>
      <c r="H268" s="162"/>
      <c r="I268" s="162"/>
      <c r="J268" s="21"/>
    </row>
    <row r="269" spans="1:10" ht="63.75">
      <c r="A269" s="399" t="s">
        <v>293</v>
      </c>
      <c r="B269" s="135">
        <v>100</v>
      </c>
      <c r="C269" s="9">
        <v>100</v>
      </c>
      <c r="D269" s="25">
        <f t="shared" si="14"/>
        <v>0</v>
      </c>
      <c r="E269" s="26">
        <f t="shared" si="15"/>
        <v>1</v>
      </c>
      <c r="F269" s="163"/>
      <c r="G269" s="163"/>
      <c r="H269" s="162"/>
      <c r="I269" s="162"/>
      <c r="J269" s="21"/>
    </row>
    <row r="270" spans="1:10" ht="43.5" customHeight="1">
      <c r="A270" s="1" t="s">
        <v>120</v>
      </c>
      <c r="B270" s="172">
        <v>1107</v>
      </c>
      <c r="C270" s="9">
        <v>1108</v>
      </c>
      <c r="D270" s="25">
        <f t="shared" si="14"/>
        <v>1</v>
      </c>
      <c r="E270" s="26">
        <f t="shared" si="15"/>
        <v>1.000903342366757</v>
      </c>
      <c r="F270" s="163"/>
      <c r="G270" s="163"/>
      <c r="H270" s="162"/>
      <c r="I270" s="162"/>
      <c r="J270" s="21"/>
    </row>
    <row r="271" spans="1:10" ht="47.25" customHeight="1">
      <c r="A271" s="185" t="s">
        <v>486</v>
      </c>
      <c r="B271" s="165"/>
      <c r="C271" s="9"/>
      <c r="D271" s="25"/>
      <c r="E271" s="26"/>
      <c r="F271" s="163"/>
      <c r="G271" s="163"/>
      <c r="H271" s="162"/>
      <c r="I271" s="162"/>
      <c r="J271" s="213" t="s">
        <v>294</v>
      </c>
    </row>
    <row r="272" spans="1:10" ht="12.75">
      <c r="A272" s="400" t="s">
        <v>487</v>
      </c>
      <c r="B272" s="167">
        <v>1356</v>
      </c>
      <c r="C272" s="75">
        <v>1581</v>
      </c>
      <c r="D272" s="456">
        <f>C272-B272</f>
        <v>225</v>
      </c>
      <c r="E272" s="94">
        <f>C272/B272</f>
        <v>1.165929203539823</v>
      </c>
      <c r="F272" s="163"/>
      <c r="G272" s="163"/>
      <c r="H272" s="162"/>
      <c r="I272" s="162"/>
      <c r="J272" s="118"/>
    </row>
    <row r="273" spans="1:10" ht="12.75">
      <c r="A273" s="401" t="s">
        <v>637</v>
      </c>
      <c r="B273" s="165">
        <v>85</v>
      </c>
      <c r="C273" s="9">
        <v>85</v>
      </c>
      <c r="D273" s="25">
        <f>C273-B273</f>
        <v>0</v>
      </c>
      <c r="E273" s="26">
        <f>C273/B273</f>
        <v>1</v>
      </c>
      <c r="F273" s="163"/>
      <c r="G273" s="163"/>
      <c r="H273" s="162"/>
      <c r="I273" s="162"/>
      <c r="J273" s="118"/>
    </row>
    <row r="274" spans="1:10" ht="27" customHeight="1">
      <c r="A274" s="185" t="s">
        <v>295</v>
      </c>
      <c r="B274" s="165">
        <v>0</v>
      </c>
      <c r="C274" s="9">
        <v>0</v>
      </c>
      <c r="D274" s="25">
        <f t="shared" si="14"/>
        <v>0</v>
      </c>
      <c r="E274" s="26">
        <v>1</v>
      </c>
      <c r="F274" s="163"/>
      <c r="G274" s="163"/>
      <c r="H274" s="162"/>
      <c r="I274" s="162"/>
      <c r="J274" s="21"/>
    </row>
    <row r="275" spans="1:10" ht="25.5">
      <c r="A275" s="185" t="s">
        <v>431</v>
      </c>
      <c r="B275" s="165">
        <v>100</v>
      </c>
      <c r="C275" s="9">
        <v>100</v>
      </c>
      <c r="D275" s="25">
        <f t="shared" si="14"/>
        <v>0</v>
      </c>
      <c r="E275" s="26">
        <f t="shared" si="15"/>
        <v>1</v>
      </c>
      <c r="F275" s="163"/>
      <c r="G275" s="163"/>
      <c r="H275" s="162"/>
      <c r="I275" s="162"/>
      <c r="J275" s="21"/>
    </row>
    <row r="276" spans="1:10" ht="76.5">
      <c r="A276" s="185" t="s">
        <v>296</v>
      </c>
      <c r="B276" s="165">
        <v>0.86</v>
      </c>
      <c r="C276" s="9">
        <v>0.94</v>
      </c>
      <c r="D276" s="25">
        <f t="shared" si="14"/>
        <v>0.07999999999999996</v>
      </c>
      <c r="E276" s="26">
        <f t="shared" si="15"/>
        <v>1.0930232558139534</v>
      </c>
      <c r="F276" s="163"/>
      <c r="G276" s="163"/>
      <c r="H276" s="162"/>
      <c r="I276" s="162"/>
      <c r="J276" s="21"/>
    </row>
    <row r="277" spans="1:10" ht="76.5">
      <c r="A277" s="185" t="s">
        <v>432</v>
      </c>
      <c r="B277" s="165">
        <v>1.29</v>
      </c>
      <c r="C277" s="9">
        <v>1.32</v>
      </c>
      <c r="D277" s="25">
        <f t="shared" si="14"/>
        <v>0.030000000000000027</v>
      </c>
      <c r="E277" s="26">
        <f t="shared" si="15"/>
        <v>1.0232558139534884</v>
      </c>
      <c r="F277" s="163"/>
      <c r="G277" s="163"/>
      <c r="H277" s="162"/>
      <c r="I277" s="162"/>
      <c r="J277" s="21"/>
    </row>
    <row r="278" spans="1:10" ht="114.75">
      <c r="A278" s="185" t="s">
        <v>433</v>
      </c>
      <c r="B278" s="165">
        <v>20</v>
      </c>
      <c r="C278" s="173">
        <v>20</v>
      </c>
      <c r="D278" s="25">
        <f t="shared" si="14"/>
        <v>0</v>
      </c>
      <c r="E278" s="26">
        <f t="shared" si="15"/>
        <v>1</v>
      </c>
      <c r="F278" s="163"/>
      <c r="G278" s="163"/>
      <c r="H278" s="162"/>
      <c r="I278" s="162"/>
      <c r="J278" s="21"/>
    </row>
    <row r="279" spans="1:10" ht="51">
      <c r="A279" s="399" t="s">
        <v>297</v>
      </c>
      <c r="B279" s="165">
        <v>48.5</v>
      </c>
      <c r="C279" s="171">
        <v>48.9</v>
      </c>
      <c r="D279" s="25">
        <f t="shared" si="14"/>
        <v>0.3999999999999986</v>
      </c>
      <c r="E279" s="26">
        <f t="shared" si="15"/>
        <v>1.0082474226804123</v>
      </c>
      <c r="F279" s="163"/>
      <c r="G279" s="163"/>
      <c r="H279" s="162"/>
      <c r="I279" s="162"/>
      <c r="J279" s="211" t="s">
        <v>298</v>
      </c>
    </row>
    <row r="280" spans="1:10" ht="89.25">
      <c r="A280" s="399" t="s">
        <v>716</v>
      </c>
      <c r="B280" s="135">
        <v>100</v>
      </c>
      <c r="C280" s="9">
        <v>100</v>
      </c>
      <c r="D280" s="25">
        <f t="shared" si="14"/>
        <v>0</v>
      </c>
      <c r="E280" s="26">
        <f t="shared" si="15"/>
        <v>1</v>
      </c>
      <c r="F280" s="163"/>
      <c r="G280" s="163"/>
      <c r="H280" s="162"/>
      <c r="I280" s="162"/>
      <c r="J280" s="21"/>
    </row>
    <row r="281" spans="1:10" ht="63.75">
      <c r="A281" s="185" t="s">
        <v>218</v>
      </c>
      <c r="B281" s="165">
        <v>100</v>
      </c>
      <c r="C281" s="9">
        <v>100</v>
      </c>
      <c r="D281" s="25">
        <f t="shared" si="14"/>
        <v>0</v>
      </c>
      <c r="E281" s="26">
        <f t="shared" si="15"/>
        <v>1</v>
      </c>
      <c r="F281" s="163"/>
      <c r="G281" s="163"/>
      <c r="H281" s="162"/>
      <c r="I281" s="162"/>
      <c r="J281" s="211"/>
    </row>
    <row r="282" spans="1:10" ht="51">
      <c r="A282" s="185" t="s">
        <v>219</v>
      </c>
      <c r="B282" s="165">
        <v>30</v>
      </c>
      <c r="C282" s="9">
        <v>34</v>
      </c>
      <c r="D282" s="25">
        <f t="shared" si="14"/>
        <v>4</v>
      </c>
      <c r="E282" s="26">
        <f t="shared" si="15"/>
        <v>1.1333333333333333</v>
      </c>
      <c r="F282" s="163"/>
      <c r="G282" s="163"/>
      <c r="H282" s="162"/>
      <c r="I282" s="162"/>
      <c r="J282" s="211" t="s">
        <v>717</v>
      </c>
    </row>
    <row r="283" spans="1:10" ht="63.75">
      <c r="A283" s="185" t="s">
        <v>718</v>
      </c>
      <c r="B283" s="165">
        <v>37.5</v>
      </c>
      <c r="C283" s="9">
        <v>37.5</v>
      </c>
      <c r="D283" s="25">
        <f t="shared" si="14"/>
        <v>0</v>
      </c>
      <c r="E283" s="26">
        <f t="shared" si="15"/>
        <v>1</v>
      </c>
      <c r="F283" s="163"/>
      <c r="G283" s="163"/>
      <c r="H283" s="162"/>
      <c r="I283" s="162"/>
      <c r="J283" s="21"/>
    </row>
    <row r="284" spans="1:10" ht="89.25">
      <c r="A284" s="185" t="s">
        <v>719</v>
      </c>
      <c r="B284" s="165">
        <v>26.09</v>
      </c>
      <c r="C284" s="9">
        <v>27.2</v>
      </c>
      <c r="D284" s="25">
        <f t="shared" si="14"/>
        <v>1.1099999999999994</v>
      </c>
      <c r="E284" s="26">
        <f t="shared" si="15"/>
        <v>1.0425450364124185</v>
      </c>
      <c r="F284" s="163"/>
      <c r="G284" s="163"/>
      <c r="H284" s="162"/>
      <c r="I284" s="162"/>
      <c r="J284" s="21"/>
    </row>
    <row r="285" spans="1:10" ht="25.5">
      <c r="A285" s="185" t="s">
        <v>720</v>
      </c>
      <c r="B285" s="165">
        <v>33</v>
      </c>
      <c r="C285" s="9">
        <v>33</v>
      </c>
      <c r="D285" s="25">
        <f aca="true" t="shared" si="16" ref="D285:D291">C285-B285</f>
        <v>0</v>
      </c>
      <c r="E285" s="26">
        <f t="shared" si="15"/>
        <v>1</v>
      </c>
      <c r="F285" s="163"/>
      <c r="G285" s="163"/>
      <c r="H285" s="162"/>
      <c r="I285" s="162"/>
      <c r="J285" s="21"/>
    </row>
    <row r="286" spans="1:10" ht="78.75" customHeight="1">
      <c r="A286" s="185" t="s">
        <v>368</v>
      </c>
      <c r="B286" s="165">
        <v>31.04</v>
      </c>
      <c r="C286" s="165">
        <v>31.04</v>
      </c>
      <c r="D286" s="25">
        <f t="shared" si="16"/>
        <v>0</v>
      </c>
      <c r="E286" s="26">
        <f t="shared" si="15"/>
        <v>1</v>
      </c>
      <c r="F286" s="163"/>
      <c r="G286" s="163"/>
      <c r="H286" s="162"/>
      <c r="I286" s="162"/>
      <c r="J286" s="21"/>
    </row>
    <row r="287" spans="1:10" ht="69.75" customHeight="1">
      <c r="A287" s="185" t="s">
        <v>369</v>
      </c>
      <c r="B287" s="165">
        <v>12</v>
      </c>
      <c r="C287" s="9">
        <v>12</v>
      </c>
      <c r="D287" s="25">
        <f t="shared" si="16"/>
        <v>0</v>
      </c>
      <c r="E287" s="26">
        <f t="shared" si="15"/>
        <v>1</v>
      </c>
      <c r="F287" s="163"/>
      <c r="G287" s="163"/>
      <c r="H287" s="162"/>
      <c r="I287" s="162"/>
      <c r="J287" s="21"/>
    </row>
    <row r="288" spans="1:10" ht="42.75" customHeight="1">
      <c r="A288" s="185" t="s">
        <v>198</v>
      </c>
      <c r="B288" s="165">
        <v>3</v>
      </c>
      <c r="C288" s="9">
        <v>7</v>
      </c>
      <c r="D288" s="25">
        <f t="shared" si="16"/>
        <v>4</v>
      </c>
      <c r="E288" s="26">
        <f t="shared" si="15"/>
        <v>2.3333333333333335</v>
      </c>
      <c r="F288" s="163"/>
      <c r="G288" s="163"/>
      <c r="H288" s="162"/>
      <c r="I288" s="162"/>
      <c r="J288" s="21"/>
    </row>
    <row r="289" spans="1:10" ht="51">
      <c r="A289" s="185" t="s">
        <v>707</v>
      </c>
      <c r="B289" s="165">
        <v>20</v>
      </c>
      <c r="C289" s="9">
        <v>20</v>
      </c>
      <c r="D289" s="25">
        <f t="shared" si="16"/>
        <v>0</v>
      </c>
      <c r="E289" s="26">
        <f t="shared" si="15"/>
        <v>1</v>
      </c>
      <c r="F289" s="163"/>
      <c r="G289" s="163"/>
      <c r="H289" s="162"/>
      <c r="I289" s="162"/>
      <c r="J289" s="21"/>
    </row>
    <row r="290" spans="1:10" ht="62.25" customHeight="1">
      <c r="A290" s="185" t="s">
        <v>328</v>
      </c>
      <c r="B290" s="165">
        <v>100</v>
      </c>
      <c r="C290" s="9">
        <v>100</v>
      </c>
      <c r="D290" s="25">
        <f t="shared" si="16"/>
        <v>0</v>
      </c>
      <c r="E290" s="26">
        <f t="shared" si="15"/>
        <v>1</v>
      </c>
      <c r="F290" s="163"/>
      <c r="G290" s="163"/>
      <c r="H290" s="162"/>
      <c r="I290" s="162"/>
      <c r="J290" s="21"/>
    </row>
    <row r="291" spans="1:10" ht="38.25">
      <c r="A291" s="185" t="s">
        <v>721</v>
      </c>
      <c r="B291" s="165">
        <v>0</v>
      </c>
      <c r="C291" s="9">
        <v>0</v>
      </c>
      <c r="D291" s="25">
        <f t="shared" si="16"/>
        <v>0</v>
      </c>
      <c r="E291" s="26">
        <v>1</v>
      </c>
      <c r="F291" s="163"/>
      <c r="G291" s="163"/>
      <c r="H291" s="162"/>
      <c r="I291" s="162"/>
      <c r="J291" s="21"/>
    </row>
    <row r="292" spans="1:10" ht="127.5">
      <c r="A292" s="185" t="s">
        <v>199</v>
      </c>
      <c r="B292" s="165">
        <v>100</v>
      </c>
      <c r="C292" s="9">
        <v>100</v>
      </c>
      <c r="D292" s="25">
        <f>C292-B292</f>
        <v>0</v>
      </c>
      <c r="E292" s="26">
        <f>C292/B292</f>
        <v>1</v>
      </c>
      <c r="F292" s="163"/>
      <c r="G292" s="163"/>
      <c r="H292" s="162"/>
      <c r="I292" s="162"/>
      <c r="J292" s="21"/>
    </row>
    <row r="293" spans="1:10" ht="12.75">
      <c r="A293" s="320" t="s">
        <v>620</v>
      </c>
      <c r="B293" s="321">
        <f>SUM(B226:B292)</f>
        <v>16707.29</v>
      </c>
      <c r="C293" s="321">
        <f>SUM(C226:C292)</f>
        <v>17290.39</v>
      </c>
      <c r="D293" s="322">
        <f>C293-B293</f>
        <v>583.0999999999985</v>
      </c>
      <c r="E293" s="321">
        <f>SUM(E226:E292)/66</f>
        <v>1.041715265501394</v>
      </c>
      <c r="F293" s="323">
        <f>SUM(F183:F206)+F207+F211+F215+F216+F217+F218+F219+F220+F221+F222+F223+F224+F225</f>
        <v>427375572.71</v>
      </c>
      <c r="G293" s="323">
        <f>SUM(G183:G206)+G207+G211+G215+G216+G217+G218+G219+G220+G221+G222+G223+G224+G225</f>
        <v>415337080.06</v>
      </c>
      <c r="H293" s="322">
        <f>(SUM(H183:H206)+H207+H211+H215+H216+H217+H218+H219+H220+H221+H222+H223+H224+H225)/37</f>
        <v>0.9883265082507843</v>
      </c>
      <c r="I293" s="321">
        <f>E293/H293</f>
        <v>1.05401935170706</v>
      </c>
      <c r="J293" s="321"/>
    </row>
    <row r="294" spans="1:10" ht="25.5">
      <c r="A294" s="182" t="s">
        <v>183</v>
      </c>
      <c r="B294" s="175"/>
      <c r="C294" s="175"/>
      <c r="D294" s="175"/>
      <c r="E294" s="174"/>
      <c r="F294" s="311">
        <f>F293/F809</f>
        <v>0.1743313144312981</v>
      </c>
      <c r="G294" s="311">
        <f>G293/G809</f>
        <v>0.1758463704768167</v>
      </c>
      <c r="H294" s="262"/>
      <c r="I294" s="263"/>
      <c r="J294" s="176"/>
    </row>
    <row r="295" spans="1:10" ht="27.75" customHeight="1">
      <c r="A295" s="482" t="s">
        <v>713</v>
      </c>
      <c r="B295" s="482"/>
      <c r="C295" s="482"/>
      <c r="D295" s="482"/>
      <c r="E295" s="482"/>
      <c r="F295" s="482"/>
      <c r="G295" s="482"/>
      <c r="H295" s="482"/>
      <c r="I295" s="482"/>
      <c r="J295" s="483"/>
    </row>
    <row r="296" spans="1:10" ht="13.5">
      <c r="A296" s="490" t="s">
        <v>674</v>
      </c>
      <c r="B296" s="490"/>
      <c r="C296" s="490"/>
      <c r="D296" s="490"/>
      <c r="E296" s="490"/>
      <c r="F296" s="490"/>
      <c r="G296" s="490"/>
      <c r="H296" s="490"/>
      <c r="I296" s="490"/>
      <c r="J296" s="490"/>
    </row>
    <row r="297" spans="1:10" ht="38.25" customHeight="1">
      <c r="A297" s="182" t="s">
        <v>725</v>
      </c>
      <c r="B297" s="458">
        <f>154+69+144+21</f>
        <v>388</v>
      </c>
      <c r="C297" s="458">
        <v>304</v>
      </c>
      <c r="D297" s="458">
        <f>C297-B297</f>
        <v>-84</v>
      </c>
      <c r="E297" s="266">
        <f>C297/B297</f>
        <v>0.7835051546391752</v>
      </c>
      <c r="F297" s="24">
        <v>956565.7</v>
      </c>
      <c r="G297" s="24">
        <v>867647.54</v>
      </c>
      <c r="H297" s="459">
        <f>G297/F297</f>
        <v>0.9070443776104454</v>
      </c>
      <c r="I297" s="459"/>
      <c r="J297" s="460" t="s">
        <v>726</v>
      </c>
    </row>
    <row r="298" spans="1:10" ht="52.5" customHeight="1">
      <c r="A298" s="182" t="s">
        <v>144</v>
      </c>
      <c r="B298" s="458">
        <v>260</v>
      </c>
      <c r="C298" s="458">
        <v>260</v>
      </c>
      <c r="D298" s="458">
        <f>C298-B298</f>
        <v>0</v>
      </c>
      <c r="E298" s="459">
        <f>C298/B298</f>
        <v>1</v>
      </c>
      <c r="F298" s="24">
        <v>903270.51</v>
      </c>
      <c r="G298" s="24">
        <v>901877.38</v>
      </c>
      <c r="H298" s="459">
        <f>G298/F298</f>
        <v>0.9984576824056838</v>
      </c>
      <c r="I298" s="459"/>
      <c r="J298" s="182"/>
    </row>
    <row r="299" spans="1:10" ht="12.75" customHeight="1">
      <c r="A299" s="461" t="s">
        <v>727</v>
      </c>
      <c r="B299" s="462">
        <f aca="true" t="shared" si="17" ref="B299:G299">B297+B298</f>
        <v>648</v>
      </c>
      <c r="C299" s="462">
        <f t="shared" si="17"/>
        <v>564</v>
      </c>
      <c r="D299" s="462">
        <f t="shared" si="17"/>
        <v>-84</v>
      </c>
      <c r="E299" s="267">
        <f>(E297+E298)/2</f>
        <v>0.8917525773195876</v>
      </c>
      <c r="F299" s="463">
        <f t="shared" si="17"/>
        <v>1859836.21</v>
      </c>
      <c r="G299" s="463">
        <f t="shared" si="17"/>
        <v>1769524.92</v>
      </c>
      <c r="H299" s="464">
        <f>(H297+H298)/2</f>
        <v>0.9527510300080646</v>
      </c>
      <c r="I299" s="464">
        <f>E299/H299</f>
        <v>0.9359765030241314</v>
      </c>
      <c r="J299" s="182"/>
    </row>
    <row r="300" spans="1:10" ht="27.75" customHeight="1">
      <c r="A300" s="182" t="s">
        <v>270</v>
      </c>
      <c r="B300" s="458"/>
      <c r="C300" s="458"/>
      <c r="D300" s="458"/>
      <c r="E300" s="459"/>
      <c r="F300" s="364">
        <f>F299/F809</f>
        <v>0.0007586481582470596</v>
      </c>
      <c r="G300" s="364">
        <f>G299/G809</f>
        <v>0.0007491855401047465</v>
      </c>
      <c r="H300" s="459"/>
      <c r="I300" s="459"/>
      <c r="J300" s="182"/>
    </row>
    <row r="301" spans="1:10" ht="11.25" customHeight="1">
      <c r="A301" s="461" t="s">
        <v>675</v>
      </c>
      <c r="B301" s="458"/>
      <c r="C301" s="458"/>
      <c r="D301" s="458"/>
      <c r="E301" s="459"/>
      <c r="F301" s="24"/>
      <c r="G301" s="24"/>
      <c r="H301" s="459"/>
      <c r="I301" s="459"/>
      <c r="J301" s="182"/>
    </row>
    <row r="302" spans="1:10" ht="76.5">
      <c r="A302" s="182" t="s">
        <v>271</v>
      </c>
      <c r="B302" s="458">
        <v>57</v>
      </c>
      <c r="C302" s="458">
        <v>57</v>
      </c>
      <c r="D302" s="458">
        <f>C302-B302</f>
        <v>0</v>
      </c>
      <c r="E302" s="459">
        <f>C302/B302</f>
        <v>1</v>
      </c>
      <c r="F302" s="24">
        <v>85848</v>
      </c>
      <c r="G302" s="24">
        <v>85120.05</v>
      </c>
      <c r="H302" s="459">
        <f>G302/F302</f>
        <v>0.9915204780542354</v>
      </c>
      <c r="I302" s="459"/>
      <c r="J302" s="182"/>
    </row>
    <row r="303" spans="1:10" ht="63" customHeight="1">
      <c r="A303" s="182" t="s">
        <v>272</v>
      </c>
      <c r="B303" s="458">
        <v>3</v>
      </c>
      <c r="C303" s="458">
        <v>3</v>
      </c>
      <c r="D303" s="458">
        <f aca="true" t="shared" si="18" ref="D303:D314">C303-B303</f>
        <v>0</v>
      </c>
      <c r="E303" s="459">
        <f aca="true" t="shared" si="19" ref="E303:E314">C303/B303</f>
        <v>1</v>
      </c>
      <c r="F303" s="24">
        <v>120986.89</v>
      </c>
      <c r="G303" s="24">
        <v>120986.89</v>
      </c>
      <c r="H303" s="459">
        <f aca="true" t="shared" si="20" ref="H303:H314">G303/F303</f>
        <v>1</v>
      </c>
      <c r="I303" s="459"/>
      <c r="J303" s="182"/>
    </row>
    <row r="304" spans="1:10" ht="89.25">
      <c r="A304" s="182" t="s">
        <v>311</v>
      </c>
      <c r="B304" s="458">
        <v>2</v>
      </c>
      <c r="C304" s="458">
        <v>2</v>
      </c>
      <c r="D304" s="458">
        <f t="shared" si="18"/>
        <v>0</v>
      </c>
      <c r="E304" s="459">
        <f t="shared" si="19"/>
        <v>1</v>
      </c>
      <c r="F304" s="24">
        <v>138915.52</v>
      </c>
      <c r="G304" s="24">
        <v>110952.79</v>
      </c>
      <c r="H304" s="459">
        <f t="shared" si="20"/>
        <v>0.7987069407363555</v>
      </c>
      <c r="I304" s="459"/>
      <c r="J304" s="460" t="s">
        <v>312</v>
      </c>
    </row>
    <row r="305" spans="1:10" ht="51">
      <c r="A305" s="182" t="s">
        <v>158</v>
      </c>
      <c r="B305" s="458">
        <v>6</v>
      </c>
      <c r="C305" s="458">
        <v>0</v>
      </c>
      <c r="D305" s="458">
        <f t="shared" si="18"/>
        <v>-6</v>
      </c>
      <c r="E305" s="459">
        <f t="shared" si="19"/>
        <v>0</v>
      </c>
      <c r="F305" s="24">
        <v>6895</v>
      </c>
      <c r="G305" s="24">
        <v>0</v>
      </c>
      <c r="H305" s="458">
        <f t="shared" si="20"/>
        <v>0</v>
      </c>
      <c r="I305" s="459"/>
      <c r="J305" s="460" t="s">
        <v>313</v>
      </c>
    </row>
    <row r="306" spans="1:10" ht="38.25">
      <c r="A306" s="182" t="s">
        <v>314</v>
      </c>
      <c r="B306" s="458"/>
      <c r="C306" s="458"/>
      <c r="D306" s="458"/>
      <c r="E306" s="459"/>
      <c r="F306" s="24">
        <v>284000</v>
      </c>
      <c r="G306" s="24">
        <v>0</v>
      </c>
      <c r="H306" s="458">
        <f t="shared" si="20"/>
        <v>0</v>
      </c>
      <c r="I306" s="459"/>
      <c r="J306" s="460" t="s">
        <v>315</v>
      </c>
    </row>
    <row r="307" spans="1:10" ht="90" customHeight="1">
      <c r="A307" s="182" t="s">
        <v>316</v>
      </c>
      <c r="B307" s="458">
        <v>5</v>
      </c>
      <c r="C307" s="458">
        <v>3</v>
      </c>
      <c r="D307" s="458">
        <f t="shared" si="18"/>
        <v>-2</v>
      </c>
      <c r="E307" s="459">
        <f t="shared" si="19"/>
        <v>0.6</v>
      </c>
      <c r="F307" s="24">
        <v>33815.86</v>
      </c>
      <c r="G307" s="24">
        <v>22397.8</v>
      </c>
      <c r="H307" s="459">
        <f t="shared" si="20"/>
        <v>0.6623460116052053</v>
      </c>
      <c r="I307" s="459"/>
      <c r="J307" s="460" t="s">
        <v>611</v>
      </c>
    </row>
    <row r="308" spans="1:10" ht="76.5">
      <c r="A308" s="182" t="s">
        <v>317</v>
      </c>
      <c r="B308" s="465">
        <v>138</v>
      </c>
      <c r="C308" s="465">
        <v>134</v>
      </c>
      <c r="D308" s="465">
        <f t="shared" si="18"/>
        <v>-4</v>
      </c>
      <c r="E308" s="459">
        <f t="shared" si="19"/>
        <v>0.9710144927536232</v>
      </c>
      <c r="F308" s="24">
        <v>16123637.13</v>
      </c>
      <c r="G308" s="24">
        <v>16123480.81</v>
      </c>
      <c r="H308" s="459">
        <f t="shared" si="20"/>
        <v>0.9999903049170147</v>
      </c>
      <c r="I308" s="459"/>
      <c r="J308" s="460"/>
    </row>
    <row r="309" spans="1:10" ht="38.25">
      <c r="A309" s="182" t="s">
        <v>318</v>
      </c>
      <c r="B309" s="458">
        <v>6</v>
      </c>
      <c r="C309" s="458">
        <v>6</v>
      </c>
      <c r="D309" s="458">
        <f t="shared" si="18"/>
        <v>0</v>
      </c>
      <c r="E309" s="459">
        <f t="shared" si="19"/>
        <v>1</v>
      </c>
      <c r="F309" s="24">
        <v>357165.28</v>
      </c>
      <c r="G309" s="24">
        <v>356399.09</v>
      </c>
      <c r="H309" s="459">
        <f t="shared" si="20"/>
        <v>0.9978548026840682</v>
      </c>
      <c r="I309" s="459"/>
      <c r="J309" s="184"/>
    </row>
    <row r="310" spans="1:10" ht="51">
      <c r="A310" s="182" t="s">
        <v>319</v>
      </c>
      <c r="B310" s="458">
        <v>1</v>
      </c>
      <c r="C310" s="458">
        <v>1</v>
      </c>
      <c r="D310" s="458">
        <f t="shared" si="18"/>
        <v>0</v>
      </c>
      <c r="E310" s="459">
        <f t="shared" si="19"/>
        <v>1</v>
      </c>
      <c r="F310" s="24">
        <f>4723536.91+143020+755+59840</f>
        <v>4927151.91</v>
      </c>
      <c r="G310" s="24">
        <f>3387146.9+841603.55+54533.83+22664.57+51202.83+62345+5.74+143020+755+59840</f>
        <v>4623117.420000001</v>
      </c>
      <c r="H310" s="459">
        <f t="shared" si="20"/>
        <v>0.938294070174102</v>
      </c>
      <c r="I310" s="459"/>
      <c r="J310" s="184"/>
    </row>
    <row r="311" spans="1:10" ht="38.25">
      <c r="A311" s="182" t="s">
        <v>320</v>
      </c>
      <c r="B311" s="458">
        <v>1</v>
      </c>
      <c r="C311" s="458">
        <v>1</v>
      </c>
      <c r="D311" s="458">
        <f t="shared" si="18"/>
        <v>0</v>
      </c>
      <c r="E311" s="459">
        <f t="shared" si="19"/>
        <v>1</v>
      </c>
      <c r="F311" s="24">
        <v>150000</v>
      </c>
      <c r="G311" s="24">
        <v>150000</v>
      </c>
      <c r="H311" s="459">
        <f t="shared" si="20"/>
        <v>1</v>
      </c>
      <c r="I311" s="459"/>
      <c r="J311" s="184"/>
    </row>
    <row r="312" spans="1:10" ht="25.5">
      <c r="A312" s="182" t="s">
        <v>321</v>
      </c>
      <c r="B312" s="458">
        <v>2</v>
      </c>
      <c r="C312" s="458">
        <v>2</v>
      </c>
      <c r="D312" s="458">
        <f t="shared" si="18"/>
        <v>0</v>
      </c>
      <c r="E312" s="459">
        <f t="shared" si="19"/>
        <v>1</v>
      </c>
      <c r="F312" s="24">
        <v>1846450</v>
      </c>
      <c r="G312" s="24">
        <f>107498+15635+967177+756140</f>
        <v>1846450</v>
      </c>
      <c r="H312" s="459">
        <f t="shared" si="20"/>
        <v>1</v>
      </c>
      <c r="I312" s="459"/>
      <c r="J312" s="184"/>
    </row>
    <row r="313" spans="1:10" ht="25.5">
      <c r="A313" s="182" t="s">
        <v>322</v>
      </c>
      <c r="B313" s="458">
        <v>1</v>
      </c>
      <c r="C313" s="458">
        <v>1</v>
      </c>
      <c r="D313" s="458">
        <f t="shared" si="18"/>
        <v>0</v>
      </c>
      <c r="E313" s="459">
        <f t="shared" si="19"/>
        <v>1</v>
      </c>
      <c r="F313" s="24">
        <v>50000</v>
      </c>
      <c r="G313" s="24">
        <v>50000</v>
      </c>
      <c r="H313" s="459">
        <f t="shared" si="20"/>
        <v>1</v>
      </c>
      <c r="I313" s="459"/>
      <c r="J313" s="184"/>
    </row>
    <row r="314" spans="1:10" ht="25.5">
      <c r="A314" s="182" t="s">
        <v>323</v>
      </c>
      <c r="B314" s="458">
        <v>1</v>
      </c>
      <c r="C314" s="458">
        <v>1</v>
      </c>
      <c r="D314" s="458">
        <f t="shared" si="18"/>
        <v>0</v>
      </c>
      <c r="E314" s="459">
        <f t="shared" si="19"/>
        <v>1</v>
      </c>
      <c r="F314" s="24">
        <v>209308</v>
      </c>
      <c r="G314" s="24">
        <v>209308</v>
      </c>
      <c r="H314" s="459">
        <f t="shared" si="20"/>
        <v>1</v>
      </c>
      <c r="I314" s="459"/>
      <c r="J314" s="184"/>
    </row>
    <row r="315" spans="1:10" ht="13.5">
      <c r="A315" s="268" t="s">
        <v>324</v>
      </c>
      <c r="B315" s="462">
        <f>B302+B303+B304+B305+B306+B307+B308+B309+B310+B311+B312+B313+B314</f>
        <v>223</v>
      </c>
      <c r="C315" s="462">
        <f>C302+C303+C304+C305+C306+C307+C308+C309+C310+C311+C312+C313+C314</f>
        <v>211</v>
      </c>
      <c r="D315" s="462">
        <f>D302+D303+D304+D305+D306+D307+D308+D309+D310+D311+D312+D313+D314</f>
        <v>-12</v>
      </c>
      <c r="E315" s="464">
        <f>(E302+E303+E304+E305+E307+E308+E309+E310+E311+E312+E313+E314)/12</f>
        <v>0.8809178743961352</v>
      </c>
      <c r="F315" s="463">
        <f>F314+F313+F312+F311+F310+F309+F308+F307+F306+F305+F304+F303+F302</f>
        <v>24334173.59</v>
      </c>
      <c r="G315" s="463">
        <f>G314+G313+G312+G311+G310+G309+G308+G307+G306+G305+G304+G303+G302</f>
        <v>23698212.85</v>
      </c>
      <c r="H315" s="464">
        <f>(H302+H303+H304+H305+H306+H307+H308+H309+H310+H311+H312+H313+H314)/13</f>
        <v>0.7991317390900754</v>
      </c>
      <c r="I315" s="464">
        <f>E315/H315</f>
        <v>1.1023437454745384</v>
      </c>
      <c r="J315" s="385"/>
    </row>
    <row r="316" spans="1:10" ht="25.5">
      <c r="A316" s="102" t="s">
        <v>270</v>
      </c>
      <c r="B316" s="458"/>
      <c r="C316" s="458"/>
      <c r="D316" s="458"/>
      <c r="E316" s="464"/>
      <c r="F316" s="24">
        <f>F315/F809</f>
        <v>0.009926183755997383</v>
      </c>
      <c r="G316" s="24">
        <f>G315/G809</f>
        <v>0.010033403990458916</v>
      </c>
      <c r="H316" s="459"/>
      <c r="I316" s="459"/>
      <c r="J316" s="385"/>
    </row>
    <row r="317" spans="1:10" ht="12.75">
      <c r="A317" s="253" t="s">
        <v>676</v>
      </c>
      <c r="B317" s="462">
        <f aca="true" t="shared" si="21" ref="B317:G317">B315+B299</f>
        <v>871</v>
      </c>
      <c r="C317" s="462">
        <f t="shared" si="21"/>
        <v>775</v>
      </c>
      <c r="D317" s="462">
        <f t="shared" si="21"/>
        <v>-96</v>
      </c>
      <c r="E317" s="464">
        <f>(E299+E315)/2</f>
        <v>0.8863352258578614</v>
      </c>
      <c r="F317" s="463">
        <f t="shared" si="21"/>
        <v>26194009.8</v>
      </c>
      <c r="G317" s="463">
        <f t="shared" si="21"/>
        <v>25467737.770000003</v>
      </c>
      <c r="H317" s="464">
        <f>(H299+H315)/2</f>
        <v>0.87594138454907</v>
      </c>
      <c r="I317" s="464">
        <f>E317/H317</f>
        <v>1.0118659096283504</v>
      </c>
      <c r="J317" s="386"/>
    </row>
    <row r="318" spans="1:10" ht="77.25" customHeight="1">
      <c r="A318" s="182" t="s">
        <v>325</v>
      </c>
      <c r="B318" s="458">
        <v>19</v>
      </c>
      <c r="C318" s="458">
        <v>19</v>
      </c>
      <c r="D318" s="458">
        <f>C318-B318</f>
        <v>0</v>
      </c>
      <c r="E318" s="458">
        <f>C318/B318</f>
        <v>1</v>
      </c>
      <c r="F318" s="458"/>
      <c r="G318" s="458"/>
      <c r="H318" s="459"/>
      <c r="I318" s="459"/>
      <c r="J318" s="183"/>
    </row>
    <row r="319" spans="1:10" ht="76.5">
      <c r="A319" s="182" t="s">
        <v>326</v>
      </c>
      <c r="B319" s="458">
        <v>50</v>
      </c>
      <c r="C319" s="458">
        <v>50</v>
      </c>
      <c r="D319" s="458">
        <f>C319-B319</f>
        <v>0</v>
      </c>
      <c r="E319" s="458">
        <f>C319/B319</f>
        <v>1</v>
      </c>
      <c r="F319" s="458"/>
      <c r="G319" s="458"/>
      <c r="H319" s="459"/>
      <c r="I319" s="459"/>
      <c r="J319" s="183"/>
    </row>
    <row r="320" spans="1:10" ht="25.5">
      <c r="A320" s="182" t="s">
        <v>269</v>
      </c>
      <c r="B320" s="458" t="s">
        <v>268</v>
      </c>
      <c r="C320" s="458">
        <v>97</v>
      </c>
      <c r="D320" s="458">
        <f>C320-B320</f>
        <v>2</v>
      </c>
      <c r="E320" s="121">
        <f>C320/B320</f>
        <v>1.0210526315789474</v>
      </c>
      <c r="F320" s="458"/>
      <c r="G320" s="458"/>
      <c r="H320" s="459"/>
      <c r="I320" s="459"/>
      <c r="J320" s="183"/>
    </row>
    <row r="321" spans="1:10" ht="12.75">
      <c r="A321" s="378" t="s">
        <v>621</v>
      </c>
      <c r="B321" s="324">
        <f>B317+B318+B319+B320</f>
        <v>1035</v>
      </c>
      <c r="C321" s="324">
        <f>C317+C318+C319+C320</f>
        <v>941</v>
      </c>
      <c r="D321" s="322">
        <f>C321-B321</f>
        <v>-94</v>
      </c>
      <c r="E321" s="321">
        <f>(E317+E318+E319+E320)/4</f>
        <v>0.9768469643592022</v>
      </c>
      <c r="F321" s="323">
        <f>F317</f>
        <v>26194009.8</v>
      </c>
      <c r="G321" s="323">
        <f>G317</f>
        <v>25467737.770000003</v>
      </c>
      <c r="H321" s="322">
        <f>H317</f>
        <v>0.87594138454907</v>
      </c>
      <c r="I321" s="321">
        <f>E321/H321</f>
        <v>1.115196726162308</v>
      </c>
      <c r="J321" s="323"/>
    </row>
    <row r="322" spans="1:10" ht="25.5">
      <c r="A322" s="1" t="s">
        <v>101</v>
      </c>
      <c r="B322" s="458"/>
      <c r="C322" s="458"/>
      <c r="D322" s="458"/>
      <c r="E322" s="458"/>
      <c r="F322" s="459">
        <f>F321/F809</f>
        <v>0.010684831914244443</v>
      </c>
      <c r="G322" s="459">
        <f>G321/G809</f>
        <v>0.010782589530563665</v>
      </c>
      <c r="H322" s="459"/>
      <c r="I322" s="459"/>
      <c r="J322" s="466"/>
    </row>
    <row r="323" spans="1:10" ht="12.75" customHeight="1">
      <c r="A323" s="520" t="s">
        <v>651</v>
      </c>
      <c r="B323" s="520"/>
      <c r="C323" s="520"/>
      <c r="D323" s="520"/>
      <c r="E323" s="520"/>
      <c r="F323" s="520"/>
      <c r="G323" s="520"/>
      <c r="H323" s="520"/>
      <c r="I323" s="520"/>
      <c r="J323" s="520"/>
    </row>
    <row r="324" spans="1:10" ht="25.5">
      <c r="A324" s="196" t="s">
        <v>67</v>
      </c>
      <c r="B324" s="75">
        <v>1</v>
      </c>
      <c r="C324" s="75">
        <v>1</v>
      </c>
      <c r="D324" s="277">
        <f>SUM(C324-B324)</f>
        <v>0</v>
      </c>
      <c r="E324" s="82">
        <f>SUM(C324/B324)</f>
        <v>1</v>
      </c>
      <c r="F324" s="278">
        <v>2715.87</v>
      </c>
      <c r="G324" s="467">
        <v>2715.87</v>
      </c>
      <c r="H324" s="94">
        <f>G324/F324</f>
        <v>1</v>
      </c>
      <c r="I324" s="94"/>
      <c r="J324" s="46"/>
    </row>
    <row r="325" spans="1:10" ht="25.5">
      <c r="A325" s="196" t="s">
        <v>652</v>
      </c>
      <c r="B325" s="75"/>
      <c r="C325" s="75"/>
      <c r="D325" s="277"/>
      <c r="E325" s="82"/>
      <c r="F325" s="278">
        <v>47284.13</v>
      </c>
      <c r="G325" s="467">
        <v>41398.58</v>
      </c>
      <c r="H325" s="94">
        <f>G325/F325</f>
        <v>0.8755280048506762</v>
      </c>
      <c r="I325" s="94"/>
      <c r="J325" s="67"/>
    </row>
    <row r="326" spans="1:10" ht="102">
      <c r="A326" s="196" t="s">
        <v>653</v>
      </c>
      <c r="B326" s="75">
        <v>1</v>
      </c>
      <c r="C326" s="75">
        <v>1</v>
      </c>
      <c r="D326" s="277">
        <f>C326-B326</f>
        <v>0</v>
      </c>
      <c r="E326" s="82">
        <f>C326/B326</f>
        <v>1</v>
      </c>
      <c r="F326" s="278"/>
      <c r="G326" s="467"/>
      <c r="H326" s="94"/>
      <c r="I326" s="77"/>
      <c r="J326" s="196"/>
    </row>
    <row r="327" spans="1:10" ht="102">
      <c r="A327" s="196" t="s">
        <v>654</v>
      </c>
      <c r="B327" s="75">
        <v>1</v>
      </c>
      <c r="C327" s="75">
        <v>1</v>
      </c>
      <c r="D327" s="277">
        <f>C327-B327</f>
        <v>0</v>
      </c>
      <c r="E327" s="82">
        <f>C327/B327</f>
        <v>1</v>
      </c>
      <c r="F327" s="278"/>
      <c r="G327" s="467"/>
      <c r="H327" s="94"/>
      <c r="I327" s="77"/>
      <c r="J327" s="279"/>
    </row>
    <row r="328" spans="1:10" ht="115.5" customHeight="1">
      <c r="A328" s="196" t="s">
        <v>677</v>
      </c>
      <c r="B328" s="75">
        <v>1</v>
      </c>
      <c r="C328" s="75">
        <v>1</v>
      </c>
      <c r="D328" s="277">
        <f>C328-B328</f>
        <v>0</v>
      </c>
      <c r="E328" s="82">
        <f>C328/B328</f>
        <v>1</v>
      </c>
      <c r="F328" s="278"/>
      <c r="G328" s="467"/>
      <c r="H328" s="94"/>
      <c r="I328" s="77"/>
      <c r="J328" s="279"/>
    </row>
    <row r="329" spans="1:10" ht="15.75">
      <c r="A329" s="310" t="s">
        <v>622</v>
      </c>
      <c r="B329" s="325">
        <f aca="true" t="shared" si="22" ref="B329:G329">B324+B325+B326+B327+B328</f>
        <v>4</v>
      </c>
      <c r="C329" s="325">
        <f t="shared" si="22"/>
        <v>4</v>
      </c>
      <c r="D329" s="326">
        <f t="shared" si="22"/>
        <v>0</v>
      </c>
      <c r="E329" s="73">
        <f>(E324+E325+E326+E327+E328)/4</f>
        <v>1</v>
      </c>
      <c r="F329" s="327">
        <f t="shared" si="22"/>
        <v>50000</v>
      </c>
      <c r="G329" s="468">
        <f t="shared" si="22"/>
        <v>44114.450000000004</v>
      </c>
      <c r="H329" s="321">
        <f>(H324+H325+H326+H327+H328)/2</f>
        <v>0.9377640024253381</v>
      </c>
      <c r="I329" s="68">
        <f>E329/H329</f>
        <v>1.0663663751367092</v>
      </c>
      <c r="J329" s="379"/>
    </row>
    <row r="330" spans="1:10" ht="25.5">
      <c r="A330" s="1" t="s">
        <v>101</v>
      </c>
      <c r="B330" s="196"/>
      <c r="C330" s="196"/>
      <c r="D330" s="196"/>
      <c r="E330" s="196"/>
      <c r="F330" s="469">
        <f>F329/F809</f>
        <v>2.0395563710609215E-05</v>
      </c>
      <c r="G330" s="469">
        <f>G329/G809</f>
        <v>1.8677277542762065E-05</v>
      </c>
      <c r="H330" s="94"/>
      <c r="I330" s="77"/>
      <c r="J330" s="196"/>
    </row>
    <row r="331" spans="1:10" ht="12.75" customHeight="1">
      <c r="A331" s="520" t="s">
        <v>16</v>
      </c>
      <c r="B331" s="520"/>
      <c r="C331" s="520"/>
      <c r="D331" s="520"/>
      <c r="E331" s="520"/>
      <c r="F331" s="520"/>
      <c r="G331" s="520"/>
      <c r="H331" s="520"/>
      <c r="I331" s="520"/>
      <c r="J331" s="520"/>
    </row>
    <row r="332" spans="1:10" ht="37.5" customHeight="1">
      <c r="A332" s="196" t="s">
        <v>572</v>
      </c>
      <c r="B332" s="75">
        <v>1</v>
      </c>
      <c r="C332" s="85">
        <f>G332/F332</f>
        <v>0.10991224469719842</v>
      </c>
      <c r="D332" s="85">
        <f>C332-B332</f>
        <v>-0.8900877553028016</v>
      </c>
      <c r="E332" s="85">
        <f aca="true" t="shared" si="23" ref="E332:E338">C332/B332</f>
        <v>0.10991224469719842</v>
      </c>
      <c r="F332" s="81">
        <v>44219.55</v>
      </c>
      <c r="G332" s="81">
        <v>4860.27</v>
      </c>
      <c r="H332" s="85">
        <f>SUM(G332/F332)</f>
        <v>0.10991224469719842</v>
      </c>
      <c r="I332" s="340"/>
      <c r="J332" s="338" t="s">
        <v>578</v>
      </c>
    </row>
    <row r="333" spans="1:10" ht="51" customHeight="1">
      <c r="A333" s="196" t="s">
        <v>579</v>
      </c>
      <c r="B333" s="75">
        <v>1</v>
      </c>
      <c r="C333" s="75">
        <v>0</v>
      </c>
      <c r="D333" s="75">
        <f aca="true" t="shared" si="24" ref="D333:D339">C333-B333</f>
        <v>-1</v>
      </c>
      <c r="E333" s="85">
        <f t="shared" si="23"/>
        <v>0</v>
      </c>
      <c r="F333" s="81">
        <v>12000</v>
      </c>
      <c r="G333" s="75">
        <v>0</v>
      </c>
      <c r="H333" s="85">
        <f>G333/F333</f>
        <v>0</v>
      </c>
      <c r="I333" s="75"/>
      <c r="J333" s="339" t="s">
        <v>358</v>
      </c>
    </row>
    <row r="334" spans="1:10" ht="53.25" customHeight="1">
      <c r="A334" s="196" t="s">
        <v>580</v>
      </c>
      <c r="B334" s="75">
        <v>1</v>
      </c>
      <c r="C334" s="75">
        <v>1</v>
      </c>
      <c r="D334" s="75">
        <f t="shared" si="24"/>
        <v>0</v>
      </c>
      <c r="E334" s="85">
        <f>C334/B334</f>
        <v>1</v>
      </c>
      <c r="F334" s="81">
        <v>14161.92</v>
      </c>
      <c r="G334" s="81">
        <v>14161.92</v>
      </c>
      <c r="H334" s="85">
        <f aca="true" t="shared" si="25" ref="H334:H339">G334/F334</f>
        <v>1</v>
      </c>
      <c r="I334" s="75"/>
      <c r="J334" s="339" t="s">
        <v>356</v>
      </c>
    </row>
    <row r="335" spans="1:10" ht="45">
      <c r="A335" s="196" t="s">
        <v>581</v>
      </c>
      <c r="B335" s="75">
        <v>1</v>
      </c>
      <c r="C335" s="75">
        <v>1</v>
      </c>
      <c r="D335" s="75">
        <f t="shared" si="24"/>
        <v>0</v>
      </c>
      <c r="E335" s="85">
        <f>C335/B335</f>
        <v>1</v>
      </c>
      <c r="F335" s="81">
        <v>24000</v>
      </c>
      <c r="G335" s="81">
        <v>24000</v>
      </c>
      <c r="H335" s="85">
        <f t="shared" si="25"/>
        <v>1</v>
      </c>
      <c r="I335" s="75"/>
      <c r="J335" s="339" t="s">
        <v>356</v>
      </c>
    </row>
    <row r="336" spans="1:10" ht="45">
      <c r="A336" s="196" t="s">
        <v>355</v>
      </c>
      <c r="B336" s="75">
        <v>1</v>
      </c>
      <c r="C336" s="75">
        <v>1</v>
      </c>
      <c r="D336" s="75">
        <f t="shared" si="24"/>
        <v>0</v>
      </c>
      <c r="E336" s="85">
        <f t="shared" si="23"/>
        <v>1</v>
      </c>
      <c r="F336" s="81">
        <v>13526.56</v>
      </c>
      <c r="G336" s="81">
        <v>13526.56</v>
      </c>
      <c r="H336" s="85">
        <f t="shared" si="25"/>
        <v>1</v>
      </c>
      <c r="I336" s="75"/>
      <c r="J336" s="339" t="s">
        <v>356</v>
      </c>
    </row>
    <row r="337" spans="1:10" ht="63.75">
      <c r="A337" s="196" t="s">
        <v>357</v>
      </c>
      <c r="B337" s="75">
        <v>1</v>
      </c>
      <c r="C337" s="75">
        <v>0</v>
      </c>
      <c r="D337" s="75">
        <f t="shared" si="24"/>
        <v>-1</v>
      </c>
      <c r="E337" s="85">
        <f t="shared" si="23"/>
        <v>0</v>
      </c>
      <c r="F337" s="81">
        <v>6194.98</v>
      </c>
      <c r="G337" s="75">
        <v>0</v>
      </c>
      <c r="H337" s="85">
        <f t="shared" si="25"/>
        <v>0</v>
      </c>
      <c r="I337" s="75"/>
      <c r="J337" s="339" t="s">
        <v>358</v>
      </c>
    </row>
    <row r="338" spans="1:10" ht="51">
      <c r="A338" s="196" t="s">
        <v>359</v>
      </c>
      <c r="B338" s="75">
        <v>1</v>
      </c>
      <c r="C338" s="75">
        <v>0</v>
      </c>
      <c r="D338" s="75">
        <f t="shared" si="24"/>
        <v>-1</v>
      </c>
      <c r="E338" s="85">
        <f t="shared" si="23"/>
        <v>0</v>
      </c>
      <c r="F338" s="81">
        <v>10000</v>
      </c>
      <c r="G338" s="75">
        <v>0</v>
      </c>
      <c r="H338" s="85">
        <f t="shared" si="25"/>
        <v>0</v>
      </c>
      <c r="I338" s="75"/>
      <c r="J338" s="339" t="s">
        <v>358</v>
      </c>
    </row>
    <row r="339" spans="1:10" ht="63.75">
      <c r="A339" s="196" t="s">
        <v>360</v>
      </c>
      <c r="B339" s="75">
        <v>1</v>
      </c>
      <c r="C339" s="75">
        <v>0</v>
      </c>
      <c r="D339" s="75">
        <f t="shared" si="24"/>
        <v>-1</v>
      </c>
      <c r="E339" s="85">
        <f>C339/B339</f>
        <v>0</v>
      </c>
      <c r="F339" s="81">
        <v>10000</v>
      </c>
      <c r="G339" s="75">
        <v>0</v>
      </c>
      <c r="H339" s="85">
        <f t="shared" si="25"/>
        <v>0</v>
      </c>
      <c r="I339" s="341"/>
      <c r="J339" s="339" t="s">
        <v>358</v>
      </c>
    </row>
    <row r="340" spans="1:10" ht="76.5">
      <c r="A340" s="21" t="s">
        <v>127</v>
      </c>
      <c r="B340" s="9">
        <v>1</v>
      </c>
      <c r="C340" s="9">
        <v>1</v>
      </c>
      <c r="D340" s="9">
        <f>C340-B340</f>
        <v>0</v>
      </c>
      <c r="E340" s="85">
        <f>C340/B340</f>
        <v>1</v>
      </c>
      <c r="F340" s="11"/>
      <c r="G340" s="11"/>
      <c r="H340" s="8"/>
      <c r="I340" s="28"/>
      <c r="J340" s="354"/>
    </row>
    <row r="341" spans="1:10" ht="175.5" customHeight="1">
      <c r="A341" s="7" t="s">
        <v>128</v>
      </c>
      <c r="B341" s="9"/>
      <c r="C341" s="9"/>
      <c r="D341" s="9"/>
      <c r="E341" s="85"/>
      <c r="F341" s="11">
        <v>2261000</v>
      </c>
      <c r="G341" s="11">
        <v>2251480.8</v>
      </c>
      <c r="H341" s="8">
        <v>0.996</v>
      </c>
      <c r="I341" s="8">
        <f>E340/H341</f>
        <v>1.0040160642570282</v>
      </c>
      <c r="J341" s="355" t="s">
        <v>514</v>
      </c>
    </row>
    <row r="342" spans="1:10" ht="77.25" customHeight="1">
      <c r="A342" s="454" t="s">
        <v>515</v>
      </c>
      <c r="B342" s="9">
        <v>1</v>
      </c>
      <c r="C342" s="9">
        <v>1</v>
      </c>
      <c r="D342" s="9">
        <f>C342-B342</f>
        <v>0</v>
      </c>
      <c r="E342" s="85">
        <f>C342/B342</f>
        <v>1</v>
      </c>
      <c r="F342" s="11">
        <v>50000</v>
      </c>
      <c r="G342" s="11">
        <v>50000</v>
      </c>
      <c r="H342" s="8">
        <f>G342/F342</f>
        <v>1</v>
      </c>
      <c r="I342" s="8">
        <f>E342/H342</f>
        <v>1</v>
      </c>
      <c r="J342" s="355"/>
    </row>
    <row r="343" spans="1:10" ht="17.25" customHeight="1">
      <c r="A343" s="325" t="s">
        <v>623</v>
      </c>
      <c r="B343" s="325">
        <f>SUM(B332:B342)</f>
        <v>10</v>
      </c>
      <c r="C343" s="358">
        <f>SUM(C332:C342)</f>
        <v>5.109912244697199</v>
      </c>
      <c r="D343" s="358">
        <f>C343-B343</f>
        <v>-4.890087755302801</v>
      </c>
      <c r="E343" s="358">
        <f>(E332+E333+E334+E335+E336+E337+E338+E339+E340+E342)/10</f>
        <v>0.5109912244697199</v>
      </c>
      <c r="F343" s="327">
        <f>SUM(F332:F342)</f>
        <v>2445103.01</v>
      </c>
      <c r="G343" s="468">
        <f>SUM(G332:G342)</f>
        <v>2358029.55</v>
      </c>
      <c r="H343" s="358">
        <f>(H332+H333+H334+H335+H336+H337+H338+H339+H341+H342)/10</f>
        <v>0.5105912244697198</v>
      </c>
      <c r="I343" s="358">
        <f>E343/H343</f>
        <v>1.0007834055518983</v>
      </c>
      <c r="J343" s="310"/>
    </row>
    <row r="344" spans="1:10" ht="28.5" customHeight="1">
      <c r="A344" s="1" t="s">
        <v>101</v>
      </c>
      <c r="B344" s="76"/>
      <c r="C344" s="76"/>
      <c r="D344" s="76"/>
      <c r="E344" s="335"/>
      <c r="F344" s="459">
        <f>F343/F809</f>
        <v>0.000997385084389147</v>
      </c>
      <c r="G344" s="470">
        <f>G343/G809</f>
        <v>0.000998347987096843</v>
      </c>
      <c r="H344" s="76"/>
      <c r="I344" s="76"/>
      <c r="J344" s="196"/>
    </row>
    <row r="345" spans="1:10" ht="17.25" customHeight="1">
      <c r="A345" s="516" t="s">
        <v>17</v>
      </c>
      <c r="B345" s="516"/>
      <c r="C345" s="516"/>
      <c r="D345" s="516"/>
      <c r="E345" s="516"/>
      <c r="F345" s="516"/>
      <c r="G345" s="516"/>
      <c r="H345" s="516"/>
      <c r="I345" s="516"/>
      <c r="J345" s="516"/>
    </row>
    <row r="346" spans="1:10" ht="330" customHeight="1">
      <c r="A346" s="1" t="s">
        <v>566</v>
      </c>
      <c r="B346" s="76">
        <v>1</v>
      </c>
      <c r="C346" s="336">
        <f>G346/F346</f>
        <v>0.7610503048421743</v>
      </c>
      <c r="D346" s="335">
        <f aca="true" t="shared" si="26" ref="D346:D352">C346-B346</f>
        <v>-0.23894969515782571</v>
      </c>
      <c r="E346" s="335">
        <f>C346/B346</f>
        <v>0.7610503048421743</v>
      </c>
      <c r="F346" s="98">
        <v>2190485.95</v>
      </c>
      <c r="G346" s="98">
        <v>1667070</v>
      </c>
      <c r="H346" s="336">
        <f>G346/F346</f>
        <v>0.7610503048421743</v>
      </c>
      <c r="I346" s="76">
        <f>E346/H346</f>
        <v>1</v>
      </c>
      <c r="J346" s="365" t="s">
        <v>570</v>
      </c>
    </row>
    <row r="347" spans="1:10" ht="31.5">
      <c r="A347" s="1" t="s">
        <v>567</v>
      </c>
      <c r="B347" s="76">
        <v>108.923</v>
      </c>
      <c r="C347" s="335">
        <v>107.9</v>
      </c>
      <c r="D347" s="335">
        <f t="shared" si="26"/>
        <v>-1.0229999999999961</v>
      </c>
      <c r="E347" s="335">
        <f>C347/B347</f>
        <v>0.9906080442147205</v>
      </c>
      <c r="F347" s="76"/>
      <c r="G347" s="76"/>
      <c r="H347" s="76"/>
      <c r="I347" s="76"/>
      <c r="J347" s="365" t="s">
        <v>202</v>
      </c>
    </row>
    <row r="348" spans="1:10" ht="38.25" customHeight="1">
      <c r="A348" s="1" t="s">
        <v>87</v>
      </c>
      <c r="B348" s="76">
        <v>1</v>
      </c>
      <c r="C348" s="76">
        <v>1</v>
      </c>
      <c r="D348" s="335">
        <f t="shared" si="26"/>
        <v>0</v>
      </c>
      <c r="E348" s="335">
        <f>C348/B348</f>
        <v>1</v>
      </c>
      <c r="F348" s="76"/>
      <c r="G348" s="76"/>
      <c r="H348" s="76"/>
      <c r="I348" s="76"/>
      <c r="J348" s="333"/>
    </row>
    <row r="349" spans="1:10" ht="24.75" customHeight="1">
      <c r="A349" s="1" t="s">
        <v>568</v>
      </c>
      <c r="B349" s="76"/>
      <c r="C349" s="336"/>
      <c r="D349" s="335"/>
      <c r="E349" s="335"/>
      <c r="F349" s="76"/>
      <c r="G349" s="76"/>
      <c r="H349" s="76"/>
      <c r="I349" s="76"/>
      <c r="J349" s="333"/>
    </row>
    <row r="350" spans="1:10" ht="40.5" customHeight="1">
      <c r="A350" s="1" t="s">
        <v>88</v>
      </c>
      <c r="B350" s="76"/>
      <c r="C350" s="336"/>
      <c r="D350" s="335"/>
      <c r="E350" s="335"/>
      <c r="F350" s="76"/>
      <c r="G350" s="76"/>
      <c r="H350" s="76"/>
      <c r="I350" s="76"/>
      <c r="J350" s="334"/>
    </row>
    <row r="351" spans="1:10" ht="30.75" customHeight="1">
      <c r="A351" s="1" t="s">
        <v>571</v>
      </c>
      <c r="B351" s="76">
        <v>710</v>
      </c>
      <c r="C351" s="76">
        <v>491</v>
      </c>
      <c r="D351" s="76">
        <f t="shared" si="26"/>
        <v>-219</v>
      </c>
      <c r="E351" s="335">
        <f>B351/C351</f>
        <v>1.4460285132382893</v>
      </c>
      <c r="F351" s="76"/>
      <c r="G351" s="76"/>
      <c r="H351" s="76"/>
      <c r="I351" s="76"/>
      <c r="J351" s="334"/>
    </row>
    <row r="352" spans="1:10" ht="76.5">
      <c r="A352" s="1" t="s">
        <v>569</v>
      </c>
      <c r="B352" s="76">
        <v>7.3</v>
      </c>
      <c r="C352" s="76">
        <v>6.97</v>
      </c>
      <c r="D352" s="76">
        <f t="shared" si="26"/>
        <v>-0.33000000000000007</v>
      </c>
      <c r="E352" s="335">
        <f>C352/B352</f>
        <v>0.9547945205479452</v>
      </c>
      <c r="F352" s="76"/>
      <c r="G352" s="76"/>
      <c r="H352" s="76"/>
      <c r="I352" s="76"/>
      <c r="J352" s="333"/>
    </row>
    <row r="353" spans="1:10" ht="12.75">
      <c r="A353" s="310" t="s">
        <v>624</v>
      </c>
      <c r="B353" s="337">
        <f>SUM(B346:B352)</f>
        <v>828.223</v>
      </c>
      <c r="C353" s="337">
        <f>SUM(C346:C352)</f>
        <v>607.6310503048422</v>
      </c>
      <c r="D353" s="337">
        <f>SUM(C353-B353)</f>
        <v>-220.59194969515772</v>
      </c>
      <c r="E353" s="68">
        <f>(E346+E347+E348+E351+E352)/5</f>
        <v>1.0304962765686256</v>
      </c>
      <c r="F353" s="69">
        <f>SUM(F346:F352)</f>
        <v>2190485.95</v>
      </c>
      <c r="G353" s="69">
        <f>SUM(G346:G352)</f>
        <v>1667070</v>
      </c>
      <c r="H353" s="68">
        <f>G353/F353</f>
        <v>0.7610503048421743</v>
      </c>
      <c r="I353" s="68">
        <f>E353/H353</f>
        <v>1.3540448903470694</v>
      </c>
      <c r="J353" s="68"/>
    </row>
    <row r="354" spans="1:10" ht="25.5">
      <c r="A354" s="1" t="s">
        <v>101</v>
      </c>
      <c r="B354" s="360"/>
      <c r="C354" s="360"/>
      <c r="D354" s="360"/>
      <c r="E354" s="79"/>
      <c r="F354" s="471">
        <f>F353/F809</f>
        <v>0.0008935239150083871</v>
      </c>
      <c r="G354" s="472">
        <f>G353/G809</f>
        <v>0.0007058079398748562</v>
      </c>
      <c r="H354" s="79"/>
      <c r="I354" s="79"/>
      <c r="J354" s="473"/>
    </row>
    <row r="355" spans="1:10" ht="12.75" customHeight="1">
      <c r="A355" s="520" t="s">
        <v>436</v>
      </c>
      <c r="B355" s="520"/>
      <c r="C355" s="520"/>
      <c r="D355" s="520"/>
      <c r="E355" s="520"/>
      <c r="F355" s="520"/>
      <c r="G355" s="520"/>
      <c r="H355" s="520"/>
      <c r="I355" s="520"/>
      <c r="J355" s="520"/>
    </row>
    <row r="356" spans="1:10" ht="26.25" customHeight="1">
      <c r="A356" s="522" t="s">
        <v>52</v>
      </c>
      <c r="B356" s="522"/>
      <c r="C356" s="522"/>
      <c r="D356" s="522"/>
      <c r="E356" s="522"/>
      <c r="F356" s="522"/>
      <c r="G356" s="522"/>
      <c r="H356" s="522"/>
      <c r="I356" s="522"/>
      <c r="J356" s="403"/>
    </row>
    <row r="357" spans="1:10" ht="76.5">
      <c r="A357" s="1" t="s">
        <v>679</v>
      </c>
      <c r="B357" s="135"/>
      <c r="C357" s="135"/>
      <c r="D357" s="135"/>
      <c r="E357" s="140"/>
      <c r="F357" s="136">
        <v>5439814.11</v>
      </c>
      <c r="G357" s="136">
        <f>5181634.37-115000</f>
        <v>5066634.37</v>
      </c>
      <c r="H357" s="404">
        <f>G357/F357</f>
        <v>0.9313984389073177</v>
      </c>
      <c r="I357" s="136"/>
      <c r="J357" s="125" t="s">
        <v>181</v>
      </c>
    </row>
    <row r="358" spans="1:10" ht="60.75">
      <c r="A358" s="1" t="s">
        <v>678</v>
      </c>
      <c r="B358" s="135">
        <v>2</v>
      </c>
      <c r="C358" s="135">
        <v>2</v>
      </c>
      <c r="D358" s="135">
        <f>C358-B358</f>
        <v>0</v>
      </c>
      <c r="E358" s="142">
        <f>C358/B358</f>
        <v>1</v>
      </c>
      <c r="F358" s="136"/>
      <c r="G358" s="136"/>
      <c r="H358" s="136"/>
      <c r="I358" s="136"/>
      <c r="J358" s="125"/>
    </row>
    <row r="359" spans="1:10" ht="38.25">
      <c r="A359" s="131" t="s">
        <v>680</v>
      </c>
      <c r="B359" s="135">
        <v>5</v>
      </c>
      <c r="C359" s="135">
        <v>5</v>
      </c>
      <c r="D359" s="135">
        <f>C359-B359</f>
        <v>0</v>
      </c>
      <c r="E359" s="142">
        <f>C359/B359</f>
        <v>1</v>
      </c>
      <c r="F359" s="136"/>
      <c r="G359" s="137"/>
      <c r="H359" s="138"/>
      <c r="I359" s="138"/>
      <c r="J359" s="128"/>
    </row>
    <row r="360" spans="1:10" ht="30" customHeight="1">
      <c r="A360" s="506" t="s">
        <v>510</v>
      </c>
      <c r="B360" s="506"/>
      <c r="C360" s="506"/>
      <c r="D360" s="506"/>
      <c r="E360" s="506"/>
      <c r="F360" s="506"/>
      <c r="G360" s="506"/>
      <c r="H360" s="506"/>
      <c r="I360" s="506"/>
      <c r="J360" s="199"/>
    </row>
    <row r="361" spans="1:10" ht="76.5">
      <c r="A361" s="131" t="s">
        <v>681</v>
      </c>
      <c r="B361" s="132">
        <v>1</v>
      </c>
      <c r="C361" s="132">
        <v>1</v>
      </c>
      <c r="D361" s="132">
        <f>C361-B361</f>
        <v>0</v>
      </c>
      <c r="E361" s="405">
        <f>C361/B361</f>
        <v>1</v>
      </c>
      <c r="F361" s="133">
        <v>499996.77</v>
      </c>
      <c r="G361" s="133">
        <v>499996.77</v>
      </c>
      <c r="H361" s="405">
        <f>G361/F361</f>
        <v>1</v>
      </c>
      <c r="I361" s="133"/>
      <c r="J361" s="126"/>
    </row>
    <row r="362" spans="1:10" ht="31.5" customHeight="1">
      <c r="A362" s="506" t="s">
        <v>511</v>
      </c>
      <c r="B362" s="506"/>
      <c r="C362" s="506"/>
      <c r="D362" s="506"/>
      <c r="E362" s="506"/>
      <c r="F362" s="506"/>
      <c r="G362" s="506"/>
      <c r="H362" s="506"/>
      <c r="I362" s="506"/>
      <c r="J362" s="506"/>
    </row>
    <row r="363" spans="1:10" ht="76.5">
      <c r="A363" s="131" t="s">
        <v>682</v>
      </c>
      <c r="B363" s="135"/>
      <c r="C363" s="135"/>
      <c r="D363" s="135"/>
      <c r="E363" s="140"/>
      <c r="F363" s="136">
        <v>242430.2</v>
      </c>
      <c r="G363" s="136">
        <v>242430.2</v>
      </c>
      <c r="H363" s="142">
        <f>G363/F363</f>
        <v>1</v>
      </c>
      <c r="I363" s="140"/>
      <c r="J363" s="126"/>
    </row>
    <row r="364" spans="1:10" ht="51" customHeight="1">
      <c r="A364" s="131" t="s">
        <v>683</v>
      </c>
      <c r="B364" s="135">
        <v>2</v>
      </c>
      <c r="C364" s="135">
        <v>2</v>
      </c>
      <c r="D364" s="135">
        <f>C364-B364</f>
        <v>0</v>
      </c>
      <c r="E364" s="142">
        <f>C364/B364</f>
        <v>1</v>
      </c>
      <c r="F364" s="136"/>
      <c r="G364" s="136"/>
      <c r="H364" s="140"/>
      <c r="I364" s="140"/>
      <c r="J364" s="126"/>
    </row>
    <row r="365" spans="1:10" ht="102">
      <c r="A365" s="131" t="s">
        <v>684</v>
      </c>
      <c r="B365" s="135">
        <v>1</v>
      </c>
      <c r="C365" s="135">
        <v>1</v>
      </c>
      <c r="D365" s="135">
        <f>C365-B365</f>
        <v>0</v>
      </c>
      <c r="E365" s="142">
        <f>C365/B365</f>
        <v>1</v>
      </c>
      <c r="F365" s="135"/>
      <c r="G365" s="135"/>
      <c r="H365" s="135"/>
      <c r="I365" s="135"/>
      <c r="J365" s="126"/>
    </row>
    <row r="366" spans="1:10" ht="12.75">
      <c r="A366" s="131" t="s">
        <v>512</v>
      </c>
      <c r="B366" s="135">
        <v>53</v>
      </c>
      <c r="C366" s="135">
        <v>53</v>
      </c>
      <c r="D366" s="135">
        <f>C366-B366</f>
        <v>0</v>
      </c>
      <c r="E366" s="142">
        <f>C366/B366</f>
        <v>1</v>
      </c>
      <c r="F366" s="135"/>
      <c r="G366" s="135"/>
      <c r="H366" s="135"/>
      <c r="I366" s="135"/>
      <c r="J366" s="126"/>
    </row>
    <row r="367" spans="1:10" ht="12.75">
      <c r="A367" s="131" t="s">
        <v>513</v>
      </c>
      <c r="B367" s="135">
        <v>16</v>
      </c>
      <c r="C367" s="135">
        <v>16</v>
      </c>
      <c r="D367" s="135">
        <f>C367-B367</f>
        <v>0</v>
      </c>
      <c r="E367" s="142">
        <f>C367/B367</f>
        <v>1</v>
      </c>
      <c r="F367" s="135"/>
      <c r="G367" s="135"/>
      <c r="H367" s="135"/>
      <c r="I367" s="135"/>
      <c r="J367" s="126"/>
    </row>
    <row r="368" spans="1:10" ht="12.75">
      <c r="A368" s="131" t="s">
        <v>439</v>
      </c>
      <c r="B368" s="135">
        <v>5</v>
      </c>
      <c r="C368" s="135">
        <v>5</v>
      </c>
      <c r="D368" s="135">
        <f>C368-B368</f>
        <v>0</v>
      </c>
      <c r="E368" s="142">
        <f>C368/B368</f>
        <v>1</v>
      </c>
      <c r="F368" s="138"/>
      <c r="G368" s="138"/>
      <c r="H368" s="138"/>
      <c r="I368" s="138"/>
      <c r="J368" s="129"/>
    </row>
    <row r="369" spans="1:10" ht="34.5" customHeight="1">
      <c r="A369" s="523" t="s">
        <v>440</v>
      </c>
      <c r="B369" s="523"/>
      <c r="C369" s="523"/>
      <c r="D369" s="523"/>
      <c r="E369" s="523"/>
      <c r="F369" s="523"/>
      <c r="G369" s="523"/>
      <c r="H369" s="523"/>
      <c r="I369" s="523"/>
      <c r="J369" s="523"/>
    </row>
    <row r="370" spans="1:10" ht="153">
      <c r="A370" s="131" t="s">
        <v>686</v>
      </c>
      <c r="B370" s="135"/>
      <c r="C370" s="135"/>
      <c r="D370" s="135"/>
      <c r="E370" s="140"/>
      <c r="F370" s="136">
        <v>170959.37</v>
      </c>
      <c r="G370" s="136">
        <v>170959.37</v>
      </c>
      <c r="H370" s="142">
        <f>G370/F370</f>
        <v>1</v>
      </c>
      <c r="I370" s="140"/>
      <c r="J370" s="126"/>
    </row>
    <row r="371" spans="1:10" ht="51">
      <c r="A371" s="131" t="s">
        <v>685</v>
      </c>
      <c r="B371" s="135"/>
      <c r="C371" s="135"/>
      <c r="D371" s="135"/>
      <c r="E371" s="140"/>
      <c r="F371" s="136"/>
      <c r="G371" s="136"/>
      <c r="H371" s="140"/>
      <c r="I371" s="140"/>
      <c r="J371" s="126"/>
    </row>
    <row r="372" spans="1:10" ht="25.5">
      <c r="A372" s="131" t="s">
        <v>441</v>
      </c>
      <c r="B372" s="132">
        <v>50</v>
      </c>
      <c r="C372" s="132">
        <v>50</v>
      </c>
      <c r="D372" s="132">
        <f aca="true" t="shared" si="27" ref="D372:D377">C372-B372</f>
        <v>0</v>
      </c>
      <c r="E372" s="142">
        <f aca="true" t="shared" si="28" ref="E372:E377">C372/B372</f>
        <v>1</v>
      </c>
      <c r="F372" s="132"/>
      <c r="G372" s="132"/>
      <c r="H372" s="132"/>
      <c r="I372" s="132"/>
      <c r="J372" s="126"/>
    </row>
    <row r="373" spans="1:10" ht="12.75">
      <c r="A373" s="131" t="s">
        <v>442</v>
      </c>
      <c r="B373" s="132">
        <v>100</v>
      </c>
      <c r="C373" s="132">
        <v>100</v>
      </c>
      <c r="D373" s="132">
        <f t="shared" si="27"/>
        <v>0</v>
      </c>
      <c r="E373" s="142">
        <f t="shared" si="28"/>
        <v>1</v>
      </c>
      <c r="F373" s="132"/>
      <c r="G373" s="132"/>
      <c r="H373" s="132"/>
      <c r="I373" s="132"/>
      <c r="J373" s="126"/>
    </row>
    <row r="374" spans="1:10" ht="12.75">
      <c r="A374" s="131" t="s">
        <v>443</v>
      </c>
      <c r="B374" s="132">
        <v>150</v>
      </c>
      <c r="C374" s="132">
        <v>150</v>
      </c>
      <c r="D374" s="132">
        <f t="shared" si="27"/>
        <v>0</v>
      </c>
      <c r="E374" s="142">
        <f t="shared" si="28"/>
        <v>1</v>
      </c>
      <c r="F374" s="132"/>
      <c r="G374" s="132"/>
      <c r="H374" s="132"/>
      <c r="I374" s="132"/>
      <c r="J374" s="126"/>
    </row>
    <row r="375" spans="1:10" ht="12.75">
      <c r="A375" s="131" t="s">
        <v>444</v>
      </c>
      <c r="B375" s="132">
        <v>10</v>
      </c>
      <c r="C375" s="132">
        <v>10</v>
      </c>
      <c r="D375" s="132">
        <f t="shared" si="27"/>
        <v>0</v>
      </c>
      <c r="E375" s="142">
        <f t="shared" si="28"/>
        <v>1</v>
      </c>
      <c r="F375" s="132"/>
      <c r="G375" s="132"/>
      <c r="H375" s="132"/>
      <c r="I375" s="132"/>
      <c r="J375" s="126"/>
    </row>
    <row r="376" spans="1:10" ht="12.75">
      <c r="A376" s="131" t="s">
        <v>445</v>
      </c>
      <c r="B376" s="132">
        <v>50</v>
      </c>
      <c r="C376" s="132">
        <v>50</v>
      </c>
      <c r="D376" s="132">
        <f t="shared" si="27"/>
        <v>0</v>
      </c>
      <c r="E376" s="142">
        <f t="shared" si="28"/>
        <v>1</v>
      </c>
      <c r="F376" s="132"/>
      <c r="G376" s="132"/>
      <c r="H376" s="132"/>
      <c r="I376" s="132"/>
      <c r="J376" s="126"/>
    </row>
    <row r="377" spans="1:10" ht="14.25" customHeight="1">
      <c r="A377" s="131" t="s">
        <v>446</v>
      </c>
      <c r="B377" s="132">
        <v>5</v>
      </c>
      <c r="C377" s="132">
        <v>5</v>
      </c>
      <c r="D377" s="132">
        <f t="shared" si="27"/>
        <v>0</v>
      </c>
      <c r="E377" s="142">
        <f t="shared" si="28"/>
        <v>1</v>
      </c>
      <c r="F377" s="132"/>
      <c r="G377" s="132"/>
      <c r="H377" s="132"/>
      <c r="I377" s="132"/>
      <c r="J377" s="126"/>
    </row>
    <row r="378" spans="1:10" ht="14.25" customHeight="1">
      <c r="A378" s="523" t="s">
        <v>447</v>
      </c>
      <c r="B378" s="523"/>
      <c r="C378" s="523"/>
      <c r="D378" s="523"/>
      <c r="E378" s="523"/>
      <c r="F378" s="523"/>
      <c r="G378" s="523"/>
      <c r="H378" s="523"/>
      <c r="I378" s="523"/>
      <c r="J378" s="523"/>
    </row>
    <row r="379" spans="1:10" s="70" customFormat="1" ht="51">
      <c r="A379" s="131" t="s">
        <v>687</v>
      </c>
      <c r="B379" s="135"/>
      <c r="C379" s="135"/>
      <c r="D379" s="135"/>
      <c r="E379" s="142"/>
      <c r="F379" s="136">
        <v>499996.77</v>
      </c>
      <c r="G379" s="136">
        <v>499996.77</v>
      </c>
      <c r="H379" s="142">
        <f>G379/F379</f>
        <v>1</v>
      </c>
      <c r="I379" s="142"/>
      <c r="J379" s="126"/>
    </row>
    <row r="380" spans="1:10" s="70" customFormat="1" ht="42" customHeight="1">
      <c r="A380" s="131" t="s">
        <v>688</v>
      </c>
      <c r="B380" s="135"/>
      <c r="C380" s="135"/>
      <c r="D380" s="135"/>
      <c r="E380" s="142"/>
      <c r="F380" s="136"/>
      <c r="G380" s="136"/>
      <c r="H380" s="142"/>
      <c r="I380" s="142"/>
      <c r="J380" s="126"/>
    </row>
    <row r="381" spans="1:10" s="70" customFormat="1" ht="14.25" customHeight="1">
      <c r="A381" s="131" t="s">
        <v>448</v>
      </c>
      <c r="B381" s="135">
        <v>520</v>
      </c>
      <c r="C381" s="135">
        <v>520</v>
      </c>
      <c r="D381" s="135">
        <f aca="true" t="shared" si="29" ref="D381:D388">C381-B381</f>
        <v>0</v>
      </c>
      <c r="E381" s="142">
        <f aca="true" t="shared" si="30" ref="E381:E388">C381/B381</f>
        <v>1</v>
      </c>
      <c r="F381" s="135"/>
      <c r="G381" s="135"/>
      <c r="H381" s="135"/>
      <c r="I381" s="135"/>
      <c r="J381" s="126"/>
    </row>
    <row r="382" spans="1:10" s="70" customFormat="1" ht="14.25" customHeight="1">
      <c r="A382" s="131" t="s">
        <v>449</v>
      </c>
      <c r="B382" s="135">
        <v>2</v>
      </c>
      <c r="C382" s="135">
        <v>2</v>
      </c>
      <c r="D382" s="135">
        <f t="shared" si="29"/>
        <v>0</v>
      </c>
      <c r="E382" s="142">
        <f t="shared" si="30"/>
        <v>1</v>
      </c>
      <c r="F382" s="135"/>
      <c r="G382" s="135"/>
      <c r="H382" s="135"/>
      <c r="I382" s="135"/>
      <c r="J382" s="126"/>
    </row>
    <row r="383" spans="1:10" s="70" customFormat="1" ht="14.25" customHeight="1">
      <c r="A383" s="131" t="s">
        <v>450</v>
      </c>
      <c r="B383" s="135">
        <v>5</v>
      </c>
      <c r="C383" s="135">
        <v>5</v>
      </c>
      <c r="D383" s="135">
        <f t="shared" si="29"/>
        <v>0</v>
      </c>
      <c r="E383" s="142">
        <f t="shared" si="30"/>
        <v>1</v>
      </c>
      <c r="F383" s="135"/>
      <c r="G383" s="135"/>
      <c r="H383" s="135"/>
      <c r="I383" s="135"/>
      <c r="J383" s="126"/>
    </row>
    <row r="384" spans="1:10" s="70" customFormat="1" ht="14.25" customHeight="1">
      <c r="A384" s="131" t="s">
        <v>451</v>
      </c>
      <c r="B384" s="135"/>
      <c r="C384" s="135"/>
      <c r="D384" s="135"/>
      <c r="E384" s="142"/>
      <c r="F384" s="135"/>
      <c r="G384" s="135"/>
      <c r="H384" s="135"/>
      <c r="I384" s="135"/>
      <c r="J384" s="126"/>
    </row>
    <row r="385" spans="1:10" s="70" customFormat="1" ht="14.25" customHeight="1">
      <c r="A385" s="131" t="s">
        <v>452</v>
      </c>
      <c r="B385" s="135">
        <v>1</v>
      </c>
      <c r="C385" s="135">
        <v>1</v>
      </c>
      <c r="D385" s="135">
        <f t="shared" si="29"/>
        <v>0</v>
      </c>
      <c r="E385" s="142">
        <f t="shared" si="30"/>
        <v>1</v>
      </c>
      <c r="F385" s="135"/>
      <c r="G385" s="135"/>
      <c r="H385" s="135"/>
      <c r="I385" s="135"/>
      <c r="J385" s="126"/>
    </row>
    <row r="386" spans="1:10" s="70" customFormat="1" ht="14.25" customHeight="1">
      <c r="A386" s="131" t="s">
        <v>453</v>
      </c>
      <c r="B386" s="135">
        <v>1</v>
      </c>
      <c r="C386" s="135">
        <v>1</v>
      </c>
      <c r="D386" s="135">
        <f t="shared" si="29"/>
        <v>0</v>
      </c>
      <c r="E386" s="142">
        <f t="shared" si="30"/>
        <v>1</v>
      </c>
      <c r="F386" s="135"/>
      <c r="G386" s="135"/>
      <c r="H386" s="135"/>
      <c r="I386" s="135"/>
      <c r="J386" s="126"/>
    </row>
    <row r="387" spans="1:10" s="70" customFormat="1" ht="14.25" customHeight="1">
      <c r="A387" s="131" t="s">
        <v>454</v>
      </c>
      <c r="B387" s="135">
        <v>3</v>
      </c>
      <c r="C387" s="135">
        <v>3</v>
      </c>
      <c r="D387" s="135">
        <f t="shared" si="29"/>
        <v>0</v>
      </c>
      <c r="E387" s="142">
        <f t="shared" si="30"/>
        <v>1</v>
      </c>
      <c r="F387" s="135"/>
      <c r="G387" s="135"/>
      <c r="H387" s="135"/>
      <c r="I387" s="135"/>
      <c r="J387" s="126"/>
    </row>
    <row r="388" spans="1:10" s="70" customFormat="1" ht="14.25" customHeight="1">
      <c r="A388" s="126" t="s">
        <v>455</v>
      </c>
      <c r="B388" s="135">
        <v>1</v>
      </c>
      <c r="C388" s="135">
        <v>1</v>
      </c>
      <c r="D388" s="135">
        <f t="shared" si="29"/>
        <v>0</v>
      </c>
      <c r="E388" s="142">
        <f t="shared" si="30"/>
        <v>1</v>
      </c>
      <c r="F388" s="135"/>
      <c r="G388" s="135"/>
      <c r="H388" s="135"/>
      <c r="I388" s="135"/>
      <c r="J388" s="126"/>
    </row>
    <row r="389" spans="1:10" s="70" customFormat="1" ht="14.25" customHeight="1">
      <c r="A389" s="523" t="s">
        <v>456</v>
      </c>
      <c r="B389" s="523"/>
      <c r="C389" s="523"/>
      <c r="D389" s="523"/>
      <c r="E389" s="523"/>
      <c r="F389" s="523"/>
      <c r="G389" s="523"/>
      <c r="H389" s="523"/>
      <c r="I389" s="523"/>
      <c r="J389" s="523"/>
    </row>
    <row r="390" spans="1:10" s="70" customFormat="1" ht="51">
      <c r="A390" s="131" t="s">
        <v>689</v>
      </c>
      <c r="B390" s="135"/>
      <c r="C390" s="135"/>
      <c r="D390" s="135"/>
      <c r="E390" s="139"/>
      <c r="F390" s="136">
        <v>1028457.61</v>
      </c>
      <c r="G390" s="136">
        <v>1028457.61</v>
      </c>
      <c r="H390" s="142">
        <f>G390/F390</f>
        <v>1</v>
      </c>
      <c r="I390" s="136"/>
      <c r="J390" s="126"/>
    </row>
    <row r="391" spans="1:10" s="70" customFormat="1" ht="102">
      <c r="A391" s="131" t="s">
        <v>457</v>
      </c>
      <c r="B391" s="135">
        <v>1</v>
      </c>
      <c r="C391" s="135">
        <v>1</v>
      </c>
      <c r="D391" s="135">
        <f>C391-B391</f>
        <v>0</v>
      </c>
      <c r="E391" s="142">
        <f>C391/B391</f>
        <v>1</v>
      </c>
      <c r="F391" s="136"/>
      <c r="G391" s="136"/>
      <c r="H391" s="136"/>
      <c r="I391" s="136"/>
      <c r="J391" s="126"/>
    </row>
    <row r="392" spans="1:10" s="70" customFormat="1" ht="14.25" customHeight="1">
      <c r="A392" s="523" t="s">
        <v>458</v>
      </c>
      <c r="B392" s="523"/>
      <c r="C392" s="523"/>
      <c r="D392" s="523"/>
      <c r="E392" s="523"/>
      <c r="F392" s="523"/>
      <c r="G392" s="523"/>
      <c r="H392" s="523"/>
      <c r="I392" s="523"/>
      <c r="J392" s="523"/>
    </row>
    <row r="393" spans="1:10" s="70" customFormat="1" ht="43.5" customHeight="1">
      <c r="A393" s="131" t="s">
        <v>690</v>
      </c>
      <c r="B393" s="135"/>
      <c r="C393" s="135"/>
      <c r="D393" s="135"/>
      <c r="E393" s="142"/>
      <c r="F393" s="136">
        <f>7545880.64</f>
        <v>7545880.64</v>
      </c>
      <c r="G393" s="136">
        <f>11645466.15-4605060</f>
        <v>7040406.15</v>
      </c>
      <c r="H393" s="142">
        <f>G393/F393</f>
        <v>0.9330131877092613</v>
      </c>
      <c r="I393" s="136"/>
      <c r="J393" s="127" t="s">
        <v>53</v>
      </c>
    </row>
    <row r="394" spans="1:10" s="70" customFormat="1" ht="38.25">
      <c r="A394" s="131" t="s">
        <v>459</v>
      </c>
      <c r="B394" s="135"/>
      <c r="C394" s="135"/>
      <c r="D394" s="135"/>
      <c r="E394" s="142"/>
      <c r="F394" s="136"/>
      <c r="G394" s="136"/>
      <c r="H394" s="142"/>
      <c r="I394" s="136"/>
      <c r="J394" s="127"/>
    </row>
    <row r="395" spans="1:10" s="70" customFormat="1" ht="23.25" customHeight="1">
      <c r="A395" s="131" t="s">
        <v>460</v>
      </c>
      <c r="B395" s="135">
        <v>3</v>
      </c>
      <c r="C395" s="135">
        <v>3</v>
      </c>
      <c r="D395" s="135">
        <f>C395-B395</f>
        <v>0</v>
      </c>
      <c r="E395" s="142">
        <f>C395/B395</f>
        <v>1</v>
      </c>
      <c r="F395" s="135"/>
      <c r="G395" s="135"/>
      <c r="H395" s="135"/>
      <c r="I395" s="135"/>
      <c r="J395" s="126"/>
    </row>
    <row r="396" spans="1:10" s="70" customFormat="1" ht="63.75">
      <c r="A396" s="131" t="s">
        <v>461</v>
      </c>
      <c r="B396" s="135">
        <v>12</v>
      </c>
      <c r="C396" s="135">
        <v>12</v>
      </c>
      <c r="D396" s="135">
        <f>C396-B396</f>
        <v>0</v>
      </c>
      <c r="E396" s="142">
        <f>C396/B396</f>
        <v>1</v>
      </c>
      <c r="F396" s="135"/>
      <c r="G396" s="135"/>
      <c r="H396" s="135"/>
      <c r="I396" s="135"/>
      <c r="J396" s="126"/>
    </row>
    <row r="397" spans="1:10" s="70" customFormat="1" ht="36.75" customHeight="1">
      <c r="A397" s="131" t="s">
        <v>691</v>
      </c>
      <c r="B397" s="135">
        <v>1</v>
      </c>
      <c r="C397" s="135">
        <v>1</v>
      </c>
      <c r="D397" s="135">
        <f>C397-B397</f>
        <v>0</v>
      </c>
      <c r="E397" s="142">
        <f>C397/B397</f>
        <v>1</v>
      </c>
      <c r="F397" s="135"/>
      <c r="G397" s="135"/>
      <c r="H397" s="135"/>
      <c r="I397" s="135"/>
      <c r="J397" s="126"/>
    </row>
    <row r="398" spans="1:10" s="70" customFormat="1" ht="12.75" customHeight="1">
      <c r="A398" s="523" t="s">
        <v>462</v>
      </c>
      <c r="B398" s="523"/>
      <c r="C398" s="523"/>
      <c r="D398" s="523"/>
      <c r="E398" s="523"/>
      <c r="F398" s="523"/>
      <c r="G398" s="523"/>
      <c r="H398" s="523"/>
      <c r="I398" s="523"/>
      <c r="J398" s="523"/>
    </row>
    <row r="399" spans="1:10" s="70" customFormat="1" ht="14.25" customHeight="1" hidden="1">
      <c r="A399" s="523"/>
      <c r="B399" s="523"/>
      <c r="C399" s="523"/>
      <c r="D399" s="523"/>
      <c r="E399" s="523"/>
      <c r="F399" s="523"/>
      <c r="G399" s="523"/>
      <c r="H399" s="523"/>
      <c r="I399" s="523"/>
      <c r="J399" s="523"/>
    </row>
    <row r="400" spans="1:10" s="70" customFormat="1" ht="51">
      <c r="A400" s="131" t="s">
        <v>692</v>
      </c>
      <c r="B400" s="135"/>
      <c r="C400" s="135"/>
      <c r="D400" s="135"/>
      <c r="E400" s="140"/>
      <c r="F400" s="136">
        <v>2162108.65</v>
      </c>
      <c r="G400" s="136">
        <v>1996538.92</v>
      </c>
      <c r="H400" s="142">
        <f>G400/F400</f>
        <v>0.9234221046199506</v>
      </c>
      <c r="I400" s="136"/>
      <c r="J400" s="126" t="s">
        <v>53</v>
      </c>
    </row>
    <row r="401" spans="1:10" s="70" customFormat="1" ht="63.75">
      <c r="A401" s="131" t="s">
        <v>693</v>
      </c>
      <c r="B401" s="135">
        <v>1</v>
      </c>
      <c r="C401" s="135">
        <v>1</v>
      </c>
      <c r="D401" s="135">
        <f>C401-B401</f>
        <v>0</v>
      </c>
      <c r="E401" s="142">
        <f>C401/B401</f>
        <v>1</v>
      </c>
      <c r="F401" s="136"/>
      <c r="G401" s="136"/>
      <c r="H401" s="136"/>
      <c r="I401" s="136"/>
      <c r="J401" s="126"/>
    </row>
    <row r="402" spans="1:10" s="70" customFormat="1" ht="14.25" customHeight="1">
      <c r="A402" s="523" t="s">
        <v>463</v>
      </c>
      <c r="B402" s="523"/>
      <c r="C402" s="523"/>
      <c r="D402" s="523"/>
      <c r="E402" s="523"/>
      <c r="F402" s="523"/>
      <c r="G402" s="523"/>
      <c r="H402" s="523"/>
      <c r="I402" s="523"/>
      <c r="J402" s="523"/>
    </row>
    <row r="403" spans="1:10" ht="51">
      <c r="A403" s="131" t="s">
        <v>694</v>
      </c>
      <c r="B403" s="135"/>
      <c r="C403" s="135"/>
      <c r="D403" s="135"/>
      <c r="E403" s="140"/>
      <c r="F403" s="136">
        <v>503896.4</v>
      </c>
      <c r="G403" s="136">
        <v>503896.4</v>
      </c>
      <c r="H403" s="142">
        <f>G403/F403</f>
        <v>1</v>
      </c>
      <c r="I403" s="136"/>
      <c r="J403" s="126"/>
    </row>
    <row r="404" spans="1:10" ht="76.5">
      <c r="A404" s="131" t="s">
        <v>695</v>
      </c>
      <c r="B404" s="135">
        <v>1</v>
      </c>
      <c r="C404" s="135">
        <v>1</v>
      </c>
      <c r="D404" s="135">
        <f>C404-B404</f>
        <v>0</v>
      </c>
      <c r="E404" s="142">
        <f>C404/B404</f>
        <v>1</v>
      </c>
      <c r="F404" s="136"/>
      <c r="G404" s="136"/>
      <c r="H404" s="136"/>
      <c r="I404" s="136"/>
      <c r="J404" s="126"/>
    </row>
    <row r="405" spans="1:10" ht="38.25" customHeight="1">
      <c r="A405" s="131" t="s">
        <v>541</v>
      </c>
      <c r="B405" s="135"/>
      <c r="C405" s="135"/>
      <c r="D405" s="135"/>
      <c r="E405" s="142"/>
      <c r="F405" s="135"/>
      <c r="G405" s="135"/>
      <c r="H405" s="135"/>
      <c r="I405" s="135"/>
      <c r="J405" s="126"/>
    </row>
    <row r="406" spans="1:10" ht="14.25" customHeight="1">
      <c r="A406" s="131" t="s">
        <v>536</v>
      </c>
      <c r="B406" s="135">
        <v>1</v>
      </c>
      <c r="C406" s="135">
        <v>1</v>
      </c>
      <c r="D406" s="135">
        <f>C406-B406</f>
        <v>0</v>
      </c>
      <c r="E406" s="142">
        <f>C406/B406</f>
        <v>1</v>
      </c>
      <c r="F406" s="135"/>
      <c r="G406" s="135"/>
      <c r="H406" s="135"/>
      <c r="I406" s="135"/>
      <c r="J406" s="126"/>
    </row>
    <row r="407" spans="1:10" ht="12.75">
      <c r="A407" s="131" t="s">
        <v>537</v>
      </c>
      <c r="B407" s="135">
        <v>1</v>
      </c>
      <c r="C407" s="135">
        <v>1</v>
      </c>
      <c r="D407" s="135">
        <f>C407-B407</f>
        <v>0</v>
      </c>
      <c r="E407" s="142">
        <f>C407/B407</f>
        <v>1</v>
      </c>
      <c r="F407" s="135"/>
      <c r="G407" s="135"/>
      <c r="H407" s="135"/>
      <c r="I407" s="135"/>
      <c r="J407" s="126"/>
    </row>
    <row r="408" spans="1:10" ht="12.75" customHeight="1">
      <c r="A408" s="523" t="s">
        <v>538</v>
      </c>
      <c r="B408" s="523"/>
      <c r="C408" s="523"/>
      <c r="D408" s="523"/>
      <c r="E408" s="523"/>
      <c r="F408" s="523"/>
      <c r="G408" s="523"/>
      <c r="H408" s="523"/>
      <c r="I408" s="523"/>
      <c r="J408" s="523"/>
    </row>
    <row r="409" spans="1:10" ht="51">
      <c r="A409" s="131" t="s">
        <v>696</v>
      </c>
      <c r="B409" s="132"/>
      <c r="C409" s="132"/>
      <c r="D409" s="132"/>
      <c r="E409" s="141"/>
      <c r="F409" s="133">
        <v>2309294.9</v>
      </c>
      <c r="G409" s="133">
        <v>2258308.82</v>
      </c>
      <c r="H409" s="405">
        <f>G409/F409</f>
        <v>0.9779213646555058</v>
      </c>
      <c r="I409" s="133"/>
      <c r="J409" s="126" t="s">
        <v>53</v>
      </c>
    </row>
    <row r="410" spans="1:10" ht="25.5">
      <c r="A410" s="131" t="s">
        <v>540</v>
      </c>
      <c r="B410" s="132">
        <v>1</v>
      </c>
      <c r="C410" s="132">
        <v>1</v>
      </c>
      <c r="D410" s="132">
        <f>C410-B410</f>
        <v>0</v>
      </c>
      <c r="E410" s="405">
        <f>C410/B410</f>
        <v>1</v>
      </c>
      <c r="F410" s="133"/>
      <c r="G410" s="133"/>
      <c r="H410" s="133"/>
      <c r="I410" s="133"/>
      <c r="J410" s="126"/>
    </row>
    <row r="411" spans="1:10" ht="12.75" customHeight="1">
      <c r="A411" s="523" t="s">
        <v>539</v>
      </c>
      <c r="B411" s="523"/>
      <c r="C411" s="523"/>
      <c r="D411" s="523"/>
      <c r="E411" s="523"/>
      <c r="F411" s="523"/>
      <c r="G411" s="523"/>
      <c r="H411" s="523"/>
      <c r="I411" s="523"/>
      <c r="J411" s="523"/>
    </row>
    <row r="412" spans="1:10" ht="36">
      <c r="A412" s="131" t="s">
        <v>698</v>
      </c>
      <c r="B412" s="135"/>
      <c r="C412" s="135"/>
      <c r="D412" s="135"/>
      <c r="E412" s="140"/>
      <c r="F412" s="136">
        <v>97000</v>
      </c>
      <c r="G412" s="136">
        <v>85000</v>
      </c>
      <c r="H412" s="142">
        <f>G412/F412</f>
        <v>0.8762886597938144</v>
      </c>
      <c r="I412" s="136"/>
      <c r="J412" s="126" t="s">
        <v>53</v>
      </c>
    </row>
    <row r="413" spans="1:10" ht="38.25">
      <c r="A413" s="131" t="s">
        <v>697</v>
      </c>
      <c r="B413" s="135">
        <v>1</v>
      </c>
      <c r="C413" s="135">
        <v>1</v>
      </c>
      <c r="D413" s="135">
        <f>C413-B413</f>
        <v>0</v>
      </c>
      <c r="E413" s="142">
        <f>C413/B413</f>
        <v>1</v>
      </c>
      <c r="F413" s="136"/>
      <c r="G413" s="136"/>
      <c r="H413" s="136"/>
      <c r="I413" s="136"/>
      <c r="J413" s="126"/>
    </row>
    <row r="414" spans="1:10" ht="12.75">
      <c r="A414" s="330" t="s">
        <v>625</v>
      </c>
      <c r="B414" s="318">
        <f>B358+B359+B361+B364+B365+B366+B367+B368+B372+B373+B374+B375+B376+B381+B382+B383+B385+B386+B387+B388+B391+B395+B396+B396+B397+B401+B404+B406+B407+B410+B413</f>
        <v>1013</v>
      </c>
      <c r="C414" s="318">
        <f>C358+C359+C361+C364+C365+C366+C367+C368+C372+C373+C374+C375+C376+C381+C382+C383+C385+C386+C387+C388+C391+C395+C396+C396+C397+C401+C404+C406+C407+C410+C413</f>
        <v>1013</v>
      </c>
      <c r="D414" s="325">
        <f>C414-B414</f>
        <v>0</v>
      </c>
      <c r="E414" s="328">
        <f>C414/B414</f>
        <v>1</v>
      </c>
      <c r="F414" s="318">
        <f>F357+F361+F363+F370+F379+F390+F393+F400++F403+F409+F412</f>
        <v>20499835.419999998</v>
      </c>
      <c r="G414" s="318">
        <f>G357+G361+G363+G370+G379+G390+G393+G400++G403+G409+G412</f>
        <v>19392625.380000003</v>
      </c>
      <c r="H414" s="329">
        <f>(H357+H361+H363+H370+H379+H390+H393+H400+H403+H409+H412)/11</f>
        <v>0.9674585232441681</v>
      </c>
      <c r="I414" s="68">
        <f>E414/H414</f>
        <v>1.0336360432762646</v>
      </c>
      <c r="J414" s="68"/>
    </row>
    <row r="415" spans="1:10" ht="25.5">
      <c r="A415" s="1" t="s">
        <v>101</v>
      </c>
      <c r="B415" s="126"/>
      <c r="C415" s="126"/>
      <c r="D415" s="126"/>
      <c r="E415" s="126"/>
      <c r="F415" s="136">
        <f>F414/F809</f>
        <v>0.008362113987312268</v>
      </c>
      <c r="G415" s="136">
        <f>G414/G809</f>
        <v>0.008210494441278802</v>
      </c>
      <c r="H415" s="126"/>
      <c r="I415" s="126"/>
      <c r="J415" s="126"/>
    </row>
    <row r="416" spans="1:10" ht="12.75" customHeight="1">
      <c r="A416" s="486" t="s">
        <v>146</v>
      </c>
      <c r="B416" s="486"/>
      <c r="C416" s="486"/>
      <c r="D416" s="486"/>
      <c r="E416" s="486"/>
      <c r="F416" s="486"/>
      <c r="G416" s="486"/>
      <c r="H416" s="486"/>
      <c r="I416" s="486"/>
      <c r="J416" s="486"/>
    </row>
    <row r="417" spans="1:10" ht="12.75" customHeight="1">
      <c r="A417" s="487" t="s">
        <v>262</v>
      </c>
      <c r="B417" s="488"/>
      <c r="C417" s="488"/>
      <c r="D417" s="488"/>
      <c r="E417" s="488"/>
      <c r="F417" s="488"/>
      <c r="G417" s="488"/>
      <c r="H417" s="488"/>
      <c r="I417" s="488"/>
      <c r="J417" s="488"/>
    </row>
    <row r="418" spans="1:10" ht="40.5" customHeight="1">
      <c r="A418" s="406" t="s">
        <v>544</v>
      </c>
      <c r="B418" s="81">
        <v>6271123</v>
      </c>
      <c r="C418" s="81">
        <v>6271123</v>
      </c>
      <c r="D418" s="393">
        <f aca="true" t="shared" si="31" ref="D418:D423">C418-B418</f>
        <v>0</v>
      </c>
      <c r="E418" s="82">
        <f aca="true" t="shared" si="32" ref="E418:E423">C418/B418</f>
        <v>1</v>
      </c>
      <c r="F418" s="394"/>
      <c r="G418" s="394"/>
      <c r="H418" s="394"/>
      <c r="I418" s="394"/>
      <c r="J418" s="475"/>
    </row>
    <row r="419" spans="1:10" ht="35.25" customHeight="1">
      <c r="A419" s="406" t="s">
        <v>545</v>
      </c>
      <c r="B419" s="81">
        <v>66</v>
      </c>
      <c r="C419" s="81">
        <v>66</v>
      </c>
      <c r="D419" s="91">
        <f t="shared" si="31"/>
        <v>0</v>
      </c>
      <c r="E419" s="82">
        <f t="shared" si="32"/>
        <v>1</v>
      </c>
      <c r="F419" s="394"/>
      <c r="G419" s="394"/>
      <c r="H419" s="394"/>
      <c r="I419" s="394"/>
      <c r="J419" s="475"/>
    </row>
    <row r="420" spans="1:10" ht="48.75" customHeight="1">
      <c r="A420" s="406" t="s">
        <v>546</v>
      </c>
      <c r="B420" s="393">
        <v>40289225</v>
      </c>
      <c r="C420" s="393">
        <v>40289225</v>
      </c>
      <c r="D420" s="393">
        <f t="shared" si="31"/>
        <v>0</v>
      </c>
      <c r="E420" s="82">
        <f t="shared" si="32"/>
        <v>1</v>
      </c>
      <c r="F420" s="394"/>
      <c r="G420" s="394"/>
      <c r="H420" s="394"/>
      <c r="I420" s="394"/>
      <c r="J420" s="475"/>
    </row>
    <row r="421" spans="1:10" ht="36" customHeight="1">
      <c r="A421" s="406" t="s">
        <v>547</v>
      </c>
      <c r="B421" s="136">
        <v>95</v>
      </c>
      <c r="C421" s="136">
        <v>95</v>
      </c>
      <c r="D421" s="143">
        <f t="shared" si="31"/>
        <v>0</v>
      </c>
      <c r="E421" s="404">
        <f t="shared" si="32"/>
        <v>1</v>
      </c>
      <c r="F421" s="144"/>
      <c r="G421" s="144"/>
      <c r="H421" s="144"/>
      <c r="I421" s="144"/>
      <c r="J421" s="474"/>
    </row>
    <row r="422" spans="1:10" ht="47.25" customHeight="1">
      <c r="A422" s="406" t="s">
        <v>548</v>
      </c>
      <c r="B422" s="143">
        <v>1448</v>
      </c>
      <c r="C422" s="143">
        <v>1448</v>
      </c>
      <c r="D422" s="143">
        <f t="shared" si="31"/>
        <v>0</v>
      </c>
      <c r="E422" s="404">
        <f t="shared" si="32"/>
        <v>1</v>
      </c>
      <c r="F422" s="144"/>
      <c r="G422" s="144"/>
      <c r="H422" s="144"/>
      <c r="I422" s="144"/>
      <c r="J422" s="474"/>
    </row>
    <row r="423" spans="1:10" ht="54.75" customHeight="1">
      <c r="A423" s="406" t="s">
        <v>549</v>
      </c>
      <c r="B423" s="143">
        <v>228</v>
      </c>
      <c r="C423" s="143">
        <v>228</v>
      </c>
      <c r="D423" s="143">
        <f t="shared" si="31"/>
        <v>0</v>
      </c>
      <c r="E423" s="404">
        <f t="shared" si="32"/>
        <v>1</v>
      </c>
      <c r="F423" s="144"/>
      <c r="G423" s="144"/>
      <c r="H423" s="144"/>
      <c r="I423" s="144"/>
      <c r="J423" s="474"/>
    </row>
    <row r="424" spans="1:10" ht="97.5" customHeight="1">
      <c r="A424" s="406" t="s">
        <v>116</v>
      </c>
      <c r="B424" s="145"/>
      <c r="C424" s="145"/>
      <c r="D424" s="145"/>
      <c r="E424" s="145"/>
      <c r="F424" s="136">
        <v>134200</v>
      </c>
      <c r="G424" s="136">
        <v>105409.31</v>
      </c>
      <c r="H424" s="404">
        <f>G424/F424</f>
        <v>0.7854643070044709</v>
      </c>
      <c r="I424" s="145"/>
      <c r="J424" s="149" t="s">
        <v>550</v>
      </c>
    </row>
    <row r="425" spans="1:10" ht="33.75" customHeight="1">
      <c r="A425" s="7" t="s">
        <v>117</v>
      </c>
      <c r="B425" s="7"/>
      <c r="C425" s="7"/>
      <c r="D425" s="146"/>
      <c r="E425" s="8"/>
      <c r="F425" s="136">
        <v>20000</v>
      </c>
      <c r="G425" s="11">
        <v>0</v>
      </c>
      <c r="H425" s="404">
        <f>G425/F425</f>
        <v>0</v>
      </c>
      <c r="I425" s="8"/>
      <c r="J425" s="44" t="s">
        <v>551</v>
      </c>
    </row>
    <row r="426" spans="1:10" ht="12.75" customHeight="1">
      <c r="A426" s="476" t="s">
        <v>115</v>
      </c>
      <c r="B426" s="260">
        <f>SUM(B418:B425)</f>
        <v>46562185</v>
      </c>
      <c r="C426" s="260">
        <f>SUM(C418:C425)</f>
        <v>46562185</v>
      </c>
      <c r="D426" s="259">
        <f>C426-B426</f>
        <v>0</v>
      </c>
      <c r="E426" s="151">
        <f>(E418+E419+E420+E421+E422+E423)/6</f>
        <v>1</v>
      </c>
      <c r="F426" s="147">
        <f>SUM(F424:F425)</f>
        <v>154200</v>
      </c>
      <c r="G426" s="147">
        <f>SUM(G424:G425)</f>
        <v>105409.31</v>
      </c>
      <c r="H426" s="151">
        <f>G426/F426</f>
        <v>0.683588261997406</v>
      </c>
      <c r="I426" s="151">
        <f>E426/H426</f>
        <v>1.4628688870081779</v>
      </c>
      <c r="J426" s="7"/>
    </row>
    <row r="427" spans="1:10" ht="12.75" customHeight="1">
      <c r="A427" s="486" t="s">
        <v>69</v>
      </c>
      <c r="B427" s="486"/>
      <c r="C427" s="486"/>
      <c r="D427" s="486"/>
      <c r="E427" s="486"/>
      <c r="F427" s="486"/>
      <c r="G427" s="486"/>
      <c r="H427" s="486"/>
      <c r="I427" s="486"/>
      <c r="J427" s="486"/>
    </row>
    <row r="428" spans="1:10" ht="27" customHeight="1">
      <c r="A428" s="21" t="s">
        <v>552</v>
      </c>
      <c r="B428" s="143">
        <v>19800</v>
      </c>
      <c r="C428" s="143">
        <v>19800</v>
      </c>
      <c r="D428" s="143">
        <f>C428-B428</f>
        <v>0</v>
      </c>
      <c r="E428" s="142">
        <f>C428/B428</f>
        <v>1</v>
      </c>
      <c r="F428" s="152"/>
      <c r="G428" s="152"/>
      <c r="H428" s="152"/>
      <c r="I428" s="152"/>
      <c r="J428" s="152"/>
    </row>
    <row r="429" spans="1:10" ht="39" customHeight="1">
      <c r="A429" s="21" t="s">
        <v>553</v>
      </c>
      <c r="B429" s="143">
        <v>8320</v>
      </c>
      <c r="C429" s="143">
        <v>8320</v>
      </c>
      <c r="D429" s="143">
        <f aca="true" t="shared" si="33" ref="D429:D435">C429-B429</f>
        <v>0</v>
      </c>
      <c r="E429" s="142">
        <f aca="true" t="shared" si="34" ref="E429:E435">C429/B429</f>
        <v>1</v>
      </c>
      <c r="F429" s="152"/>
      <c r="G429" s="152"/>
      <c r="H429" s="152"/>
      <c r="I429" s="152"/>
      <c r="J429" s="152"/>
    </row>
    <row r="430" spans="1:10" ht="63.75">
      <c r="A430" s="21" t="s">
        <v>554</v>
      </c>
      <c r="B430" s="143">
        <v>9</v>
      </c>
      <c r="C430" s="143">
        <v>9</v>
      </c>
      <c r="D430" s="143">
        <f t="shared" si="33"/>
        <v>0</v>
      </c>
      <c r="E430" s="142">
        <f t="shared" si="34"/>
        <v>1</v>
      </c>
      <c r="F430" s="152"/>
      <c r="G430" s="152"/>
      <c r="H430" s="152"/>
      <c r="I430" s="152"/>
      <c r="J430" s="152"/>
    </row>
    <row r="431" spans="1:10" ht="38.25">
      <c r="A431" s="21" t="s">
        <v>555</v>
      </c>
      <c r="B431" s="143">
        <v>22</v>
      </c>
      <c r="C431" s="143">
        <v>22</v>
      </c>
      <c r="D431" s="143">
        <f t="shared" si="33"/>
        <v>0</v>
      </c>
      <c r="E431" s="142">
        <f t="shared" si="34"/>
        <v>1</v>
      </c>
      <c r="F431" s="152"/>
      <c r="G431" s="152"/>
      <c r="H431" s="152"/>
      <c r="I431" s="152"/>
      <c r="J431" s="152"/>
    </row>
    <row r="432" spans="1:10" ht="51">
      <c r="A432" s="406" t="s">
        <v>556</v>
      </c>
      <c r="B432" s="136">
        <v>80</v>
      </c>
      <c r="C432" s="136">
        <v>80</v>
      </c>
      <c r="D432" s="136">
        <f t="shared" si="33"/>
        <v>0</v>
      </c>
      <c r="E432" s="142">
        <f t="shared" si="34"/>
        <v>1</v>
      </c>
      <c r="F432" s="152"/>
      <c r="G432" s="152"/>
      <c r="H432" s="152"/>
      <c r="I432" s="152"/>
      <c r="J432" s="152"/>
    </row>
    <row r="433" spans="1:10" ht="76.5" customHeight="1">
      <c r="A433" s="21" t="s">
        <v>557</v>
      </c>
      <c r="B433" s="136">
        <v>89</v>
      </c>
      <c r="C433" s="136">
        <v>89</v>
      </c>
      <c r="D433" s="136">
        <f t="shared" si="33"/>
        <v>0</v>
      </c>
      <c r="E433" s="142">
        <f t="shared" si="34"/>
        <v>1</v>
      </c>
      <c r="F433" s="152"/>
      <c r="G433" s="152"/>
      <c r="H433" s="152"/>
      <c r="I433" s="152"/>
      <c r="J433" s="152"/>
    </row>
    <row r="434" spans="1:10" ht="102">
      <c r="A434" s="21" t="s">
        <v>558</v>
      </c>
      <c r="B434" s="136">
        <v>3.14</v>
      </c>
      <c r="C434" s="136">
        <v>3.14</v>
      </c>
      <c r="D434" s="136">
        <f t="shared" si="33"/>
        <v>0</v>
      </c>
      <c r="E434" s="142">
        <f t="shared" si="34"/>
        <v>1</v>
      </c>
      <c r="F434" s="152"/>
      <c r="G434" s="152"/>
      <c r="H434" s="152"/>
      <c r="I434" s="152"/>
      <c r="J434" s="152"/>
    </row>
    <row r="435" spans="1:10" ht="102">
      <c r="A435" s="21" t="s">
        <v>559</v>
      </c>
      <c r="B435" s="136">
        <v>96.9</v>
      </c>
      <c r="C435" s="136">
        <v>96.9</v>
      </c>
      <c r="D435" s="136">
        <f t="shared" si="33"/>
        <v>0</v>
      </c>
      <c r="E435" s="142">
        <f t="shared" si="34"/>
        <v>1</v>
      </c>
      <c r="F435" s="152"/>
      <c r="G435" s="152"/>
      <c r="H435" s="152"/>
      <c r="I435" s="152"/>
      <c r="J435" s="152"/>
    </row>
    <row r="436" spans="1:10" ht="99" customHeight="1">
      <c r="A436" s="7" t="s">
        <v>118</v>
      </c>
      <c r="B436" s="7"/>
      <c r="C436" s="7"/>
      <c r="D436" s="146"/>
      <c r="E436" s="314"/>
      <c r="F436" s="11">
        <v>108117.19</v>
      </c>
      <c r="G436" s="11">
        <v>107585.19</v>
      </c>
      <c r="H436" s="8">
        <f>G436/F436</f>
        <v>0.9950794133661817</v>
      </c>
      <c r="I436" s="8"/>
      <c r="J436" s="149" t="s">
        <v>576</v>
      </c>
    </row>
    <row r="437" spans="1:10" ht="45.75" customHeight="1">
      <c r="A437" s="7" t="s">
        <v>211</v>
      </c>
      <c r="B437" s="7"/>
      <c r="C437" s="7"/>
      <c r="D437" s="146"/>
      <c r="E437" s="314"/>
      <c r="F437" s="11">
        <v>10800</v>
      </c>
      <c r="G437" s="11">
        <v>0</v>
      </c>
      <c r="H437" s="8">
        <f>G437/F437</f>
        <v>0</v>
      </c>
      <c r="I437" s="8"/>
      <c r="J437" s="44" t="s">
        <v>551</v>
      </c>
    </row>
    <row r="438" spans="1:10" ht="268.5" customHeight="1">
      <c r="A438" s="7" t="s">
        <v>212</v>
      </c>
      <c r="B438" s="7"/>
      <c r="C438" s="7"/>
      <c r="D438" s="146"/>
      <c r="E438" s="314"/>
      <c r="F438" s="11">
        <v>911971.93</v>
      </c>
      <c r="G438" s="11">
        <v>171705.56</v>
      </c>
      <c r="H438" s="8">
        <f>G438/F438</f>
        <v>0.18827943531112848</v>
      </c>
      <c r="I438" s="8"/>
      <c r="J438" s="149" t="s">
        <v>575</v>
      </c>
    </row>
    <row r="439" spans="1:10" ht="127.5">
      <c r="A439" s="7" t="s">
        <v>186</v>
      </c>
      <c r="B439" s="7"/>
      <c r="C439" s="7"/>
      <c r="D439" s="146"/>
      <c r="E439" s="314"/>
      <c r="F439" s="11">
        <v>126100</v>
      </c>
      <c r="G439" s="11">
        <v>126100</v>
      </c>
      <c r="H439" s="8">
        <f>G439/F439</f>
        <v>1</v>
      </c>
      <c r="I439" s="8"/>
      <c r="J439" s="44"/>
    </row>
    <row r="440" spans="1:10" ht="12.75" customHeight="1">
      <c r="A440" s="42" t="s">
        <v>114</v>
      </c>
      <c r="B440" s="260">
        <f>SUM(B428:B439)</f>
        <v>28420.04</v>
      </c>
      <c r="C440" s="260">
        <f>SUM(C428:C439)</f>
        <v>28420.04</v>
      </c>
      <c r="D440" s="258">
        <f>C440-B440</f>
        <v>0</v>
      </c>
      <c r="E440" s="151">
        <f>(E428+E429+E430+E431+E432+E433+E434+E435)/8</f>
        <v>1</v>
      </c>
      <c r="F440" s="147">
        <f>F436+F437+F438+F439</f>
        <v>1156989.12</v>
      </c>
      <c r="G440" s="147">
        <f>G436+G437+G438+G439</f>
        <v>405390.75</v>
      </c>
      <c r="H440" s="151">
        <f>(H436+H437+H438+H439)/4</f>
        <v>0.5458397121693275</v>
      </c>
      <c r="I440" s="151">
        <f>E440/H440</f>
        <v>1.8320396587227155</v>
      </c>
      <c r="J440" s="44"/>
    </row>
    <row r="441" spans="1:10" ht="12.75" customHeight="1">
      <c r="A441" s="489" t="s">
        <v>57</v>
      </c>
      <c r="B441" s="489"/>
      <c r="C441" s="489"/>
      <c r="D441" s="489"/>
      <c r="E441" s="489"/>
      <c r="F441" s="489"/>
      <c r="G441" s="489"/>
      <c r="H441" s="489"/>
      <c r="I441" s="489"/>
      <c r="J441" s="489"/>
    </row>
    <row r="442" spans="1:10" ht="40.5" customHeight="1">
      <c r="A442" s="7" t="s">
        <v>577</v>
      </c>
      <c r="B442" s="135">
        <v>35</v>
      </c>
      <c r="C442" s="135">
        <v>35</v>
      </c>
      <c r="D442" s="135">
        <f>C442-B442</f>
        <v>0</v>
      </c>
      <c r="E442" s="136">
        <f>C442/B442</f>
        <v>1</v>
      </c>
      <c r="F442" s="135"/>
      <c r="G442" s="135"/>
      <c r="H442" s="135"/>
      <c r="I442" s="135"/>
      <c r="J442" s="477"/>
    </row>
    <row r="443" spans="1:10" ht="336" customHeight="1">
      <c r="A443" s="7" t="s">
        <v>187</v>
      </c>
      <c r="B443" s="7"/>
      <c r="C443" s="7"/>
      <c r="D443" s="146"/>
      <c r="E443" s="8"/>
      <c r="F443" s="11">
        <v>3797901.44</v>
      </c>
      <c r="G443" s="11">
        <v>3275390.08</v>
      </c>
      <c r="H443" s="8">
        <f>G443/F443</f>
        <v>0.8624210321792869</v>
      </c>
      <c r="I443" s="8"/>
      <c r="J443" s="149" t="s">
        <v>129</v>
      </c>
    </row>
    <row r="444" spans="1:10" ht="12.75" customHeight="1">
      <c r="A444" s="478" t="s">
        <v>257</v>
      </c>
      <c r="B444" s="147">
        <f>SUM(B442:B443)</f>
        <v>35</v>
      </c>
      <c r="C444" s="147">
        <f>SUM(C442:C443)</f>
        <v>35</v>
      </c>
      <c r="D444" s="147">
        <f>C444-B444</f>
        <v>0</v>
      </c>
      <c r="E444" s="151">
        <f>(E442)/1</f>
        <v>1</v>
      </c>
      <c r="F444" s="147">
        <f>SUM(F443:F443)</f>
        <v>3797901.44</v>
      </c>
      <c r="G444" s="147">
        <f>SUM(G443:G443)</f>
        <v>3275390.08</v>
      </c>
      <c r="H444" s="151">
        <f>G444/F444</f>
        <v>0.8624210321792869</v>
      </c>
      <c r="I444" s="151">
        <f>E444/H444</f>
        <v>1.1595264524950872</v>
      </c>
      <c r="J444" s="7"/>
    </row>
    <row r="445" spans="1:10" ht="12.75" customHeight="1">
      <c r="A445" s="350" t="s">
        <v>182</v>
      </c>
      <c r="B445" s="351"/>
      <c r="C445" s="352"/>
      <c r="D445" s="352"/>
      <c r="E445" s="73">
        <f>(E426+E440+E444)/3</f>
        <v>1</v>
      </c>
      <c r="F445" s="74">
        <f>F426+F440+F444</f>
        <v>5109090.5600000005</v>
      </c>
      <c r="G445" s="74">
        <f>G426+G440+G444</f>
        <v>3786190.14</v>
      </c>
      <c r="H445" s="73">
        <f>G445/F445</f>
        <v>0.7410692951193254</v>
      </c>
      <c r="I445" s="73">
        <f>E445/H445</f>
        <v>1.3494014751197891</v>
      </c>
      <c r="J445" s="353"/>
    </row>
    <row r="446" spans="1:10" ht="33.75" customHeight="1">
      <c r="A446" s="1" t="s">
        <v>101</v>
      </c>
      <c r="B446" s="407"/>
      <c r="C446" s="408"/>
      <c r="D446" s="408"/>
      <c r="E446" s="147"/>
      <c r="F446" s="8">
        <f>F445/F809</f>
        <v>0.002084055640395042</v>
      </c>
      <c r="G446" s="8">
        <f>G445/G809</f>
        <v>0.001603005910182472</v>
      </c>
      <c r="H446" s="147"/>
      <c r="I446" s="8"/>
      <c r="J446" s="7"/>
    </row>
    <row r="447" spans="1:10" ht="21" customHeight="1">
      <c r="A447" s="489" t="s">
        <v>147</v>
      </c>
      <c r="B447" s="489"/>
      <c r="C447" s="489"/>
      <c r="D447" s="489"/>
      <c r="E447" s="489"/>
      <c r="F447" s="489"/>
      <c r="G447" s="489"/>
      <c r="H447" s="489"/>
      <c r="I447" s="489"/>
      <c r="J447" s="489"/>
    </row>
    <row r="448" spans="1:10" ht="12.75" customHeight="1">
      <c r="A448" s="498" t="s">
        <v>60</v>
      </c>
      <c r="B448" s="498"/>
      <c r="C448" s="498"/>
      <c r="D448" s="498"/>
      <c r="E448" s="498"/>
      <c r="F448" s="498"/>
      <c r="G448" s="498"/>
      <c r="H448" s="498"/>
      <c r="I448" s="498"/>
      <c r="J448" s="39"/>
    </row>
    <row r="449" spans="1:10" ht="63.75">
      <c r="A449" s="21" t="s">
        <v>61</v>
      </c>
      <c r="B449" s="87"/>
      <c r="C449" s="87"/>
      <c r="D449" s="87"/>
      <c r="E449" s="93"/>
      <c r="F449" s="87">
        <v>30262427.87</v>
      </c>
      <c r="G449" s="87">
        <v>28256500.38</v>
      </c>
      <c r="H449" s="93">
        <f>G449/F449</f>
        <v>0.9337155796416277</v>
      </c>
      <c r="I449" s="93"/>
      <c r="J449" s="46" t="s">
        <v>39</v>
      </c>
    </row>
    <row r="450" spans="1:10" ht="25.5">
      <c r="A450" s="21" t="s">
        <v>33</v>
      </c>
      <c r="B450" s="87">
        <v>17</v>
      </c>
      <c r="C450" s="87">
        <v>17</v>
      </c>
      <c r="D450" s="87">
        <f>C450-B450</f>
        <v>0</v>
      </c>
      <c r="E450" s="93">
        <f>C450/B450</f>
        <v>1</v>
      </c>
      <c r="F450" s="87"/>
      <c r="G450" s="87"/>
      <c r="H450" s="93"/>
      <c r="I450" s="93"/>
      <c r="J450" s="1"/>
    </row>
    <row r="451" spans="1:10" ht="12.75">
      <c r="A451" s="21" t="s">
        <v>37</v>
      </c>
      <c r="B451" s="87">
        <v>638351.5</v>
      </c>
      <c r="C451" s="87">
        <v>638351.5</v>
      </c>
      <c r="D451" s="87">
        <f>C451-B451</f>
        <v>0</v>
      </c>
      <c r="E451" s="93">
        <f>C451/B451</f>
        <v>1</v>
      </c>
      <c r="F451" s="87"/>
      <c r="G451" s="87"/>
      <c r="H451" s="93"/>
      <c r="I451" s="93"/>
      <c r="J451" s="1"/>
    </row>
    <row r="452" spans="1:10" ht="12.75">
      <c r="A452" s="21" t="s">
        <v>38</v>
      </c>
      <c r="B452" s="87">
        <v>727899</v>
      </c>
      <c r="C452" s="87">
        <v>727899</v>
      </c>
      <c r="D452" s="87">
        <f>C452-B452</f>
        <v>0</v>
      </c>
      <c r="E452" s="93">
        <f>C452/B452</f>
        <v>1</v>
      </c>
      <c r="F452" s="87"/>
      <c r="G452" s="87"/>
      <c r="H452" s="93"/>
      <c r="I452" s="93"/>
      <c r="J452" s="1"/>
    </row>
    <row r="453" spans="1:10" ht="31.5" customHeight="1">
      <c r="A453" s="21" t="s">
        <v>634</v>
      </c>
      <c r="B453" s="87"/>
      <c r="C453" s="87"/>
      <c r="D453" s="87"/>
      <c r="E453" s="93"/>
      <c r="F453" s="87">
        <v>23648482.04</v>
      </c>
      <c r="G453" s="87">
        <v>21981124.55</v>
      </c>
      <c r="H453" s="93">
        <f>G453/F453</f>
        <v>0.929494100839971</v>
      </c>
      <c r="I453" s="93"/>
      <c r="J453" s="44" t="s">
        <v>40</v>
      </c>
    </row>
    <row r="454" spans="1:10" ht="25.5">
      <c r="A454" s="21" t="s">
        <v>71</v>
      </c>
      <c r="B454" s="87">
        <v>19.86</v>
      </c>
      <c r="C454" s="87">
        <v>19.86</v>
      </c>
      <c r="D454" s="87">
        <f>C454-B454</f>
        <v>0</v>
      </c>
      <c r="E454" s="93">
        <f>C454/B454</f>
        <v>1</v>
      </c>
      <c r="F454" s="87"/>
      <c r="G454" s="87"/>
      <c r="H454" s="117"/>
      <c r="I454" s="93"/>
      <c r="J454" s="7"/>
    </row>
    <row r="455" spans="1:10" ht="12.75">
      <c r="A455" s="118" t="s">
        <v>72</v>
      </c>
      <c r="B455" s="87">
        <v>19970</v>
      </c>
      <c r="C455" s="87">
        <v>19970</v>
      </c>
      <c r="D455" s="87">
        <f>C455-B455</f>
        <v>0</v>
      </c>
      <c r="E455" s="93">
        <f>C455/B455</f>
        <v>1</v>
      </c>
      <c r="F455" s="87"/>
      <c r="G455" s="87"/>
      <c r="H455" s="117"/>
      <c r="I455" s="93"/>
      <c r="J455" s="7"/>
    </row>
    <row r="456" spans="1:10" ht="38.25">
      <c r="A456" s="21" t="s">
        <v>699</v>
      </c>
      <c r="B456" s="121">
        <v>5.573</v>
      </c>
      <c r="C456" s="121">
        <v>5.573</v>
      </c>
      <c r="D456" s="87">
        <f>C456-B456</f>
        <v>0</v>
      </c>
      <c r="E456" s="93">
        <f>C456/B456</f>
        <v>1</v>
      </c>
      <c r="F456" s="87"/>
      <c r="G456" s="87"/>
      <c r="H456" s="117"/>
      <c r="I456" s="93"/>
      <c r="J456" s="7"/>
    </row>
    <row r="457" spans="1:10" ht="25.5">
      <c r="A457" s="21" t="s">
        <v>73</v>
      </c>
      <c r="B457" s="87">
        <v>23</v>
      </c>
      <c r="C457" s="87">
        <v>23</v>
      </c>
      <c r="D457" s="87">
        <f>C457-B457</f>
        <v>0</v>
      </c>
      <c r="E457" s="93">
        <f>C457/B457</f>
        <v>1</v>
      </c>
      <c r="F457" s="87"/>
      <c r="G457" s="87"/>
      <c r="H457" s="117"/>
      <c r="I457" s="93"/>
      <c r="J457" s="7"/>
    </row>
    <row r="458" spans="1:10" ht="25.5">
      <c r="A458" s="21" t="s">
        <v>41</v>
      </c>
      <c r="B458" s="87">
        <v>500</v>
      </c>
      <c r="C458" s="87">
        <v>500</v>
      </c>
      <c r="D458" s="87">
        <f>C458-B458</f>
        <v>0</v>
      </c>
      <c r="E458" s="93">
        <f>C458/B458</f>
        <v>1</v>
      </c>
      <c r="F458" s="87"/>
      <c r="G458" s="87"/>
      <c r="H458" s="117"/>
      <c r="I458" s="93"/>
      <c r="J458" s="7"/>
    </row>
    <row r="459" spans="1:10" ht="38.25">
      <c r="A459" s="21" t="s">
        <v>62</v>
      </c>
      <c r="B459" s="87"/>
      <c r="C459" s="87"/>
      <c r="D459" s="87"/>
      <c r="E459" s="93"/>
      <c r="F459" s="87">
        <v>794943.65</v>
      </c>
      <c r="G459" s="87">
        <v>744238.21</v>
      </c>
      <c r="H459" s="93">
        <f>G459/F459</f>
        <v>0.9362150512177813</v>
      </c>
      <c r="I459" s="93"/>
      <c r="J459" s="44" t="s">
        <v>42</v>
      </c>
    </row>
    <row r="460" spans="1:10" ht="25.5">
      <c r="A460" s="21" t="s">
        <v>75</v>
      </c>
      <c r="B460" s="87">
        <v>299</v>
      </c>
      <c r="C460" s="87">
        <v>299</v>
      </c>
      <c r="D460" s="87">
        <f>C460-B460</f>
        <v>0</v>
      </c>
      <c r="E460" s="93">
        <f>C460/B460</f>
        <v>1</v>
      </c>
      <c r="F460" s="87"/>
      <c r="G460" s="87"/>
      <c r="H460" s="93"/>
      <c r="I460" s="93"/>
      <c r="J460" s="7"/>
    </row>
    <row r="461" spans="1:10" ht="12.75">
      <c r="A461" s="21" t="s">
        <v>76</v>
      </c>
      <c r="B461" s="87">
        <v>211.3</v>
      </c>
      <c r="C461" s="87">
        <v>211.3</v>
      </c>
      <c r="D461" s="87">
        <f>C461-B461</f>
        <v>0</v>
      </c>
      <c r="E461" s="93">
        <f>C461/B461</f>
        <v>1</v>
      </c>
      <c r="F461" s="87"/>
      <c r="G461" s="87"/>
      <c r="H461" s="93"/>
      <c r="I461" s="93"/>
      <c r="J461" s="7"/>
    </row>
    <row r="462" spans="1:10" ht="33.75">
      <c r="A462" s="21" t="s">
        <v>63</v>
      </c>
      <c r="B462" s="87"/>
      <c r="C462" s="87"/>
      <c r="D462" s="87"/>
      <c r="E462" s="93"/>
      <c r="F462" s="87">
        <v>17955577.23</v>
      </c>
      <c r="G462" s="87">
        <v>16499323.55</v>
      </c>
      <c r="H462" s="93">
        <f>G462/F462</f>
        <v>0.9188968607722114</v>
      </c>
      <c r="I462" s="93"/>
      <c r="J462" s="44" t="s">
        <v>700</v>
      </c>
    </row>
    <row r="463" spans="1:10" ht="25.5">
      <c r="A463" s="21" t="s">
        <v>74</v>
      </c>
      <c r="B463" s="87">
        <v>113.44</v>
      </c>
      <c r="C463" s="87">
        <v>113.44</v>
      </c>
      <c r="D463" s="87">
        <f>C463-B463</f>
        <v>0</v>
      </c>
      <c r="E463" s="93">
        <f>C463/B463</f>
        <v>1</v>
      </c>
      <c r="F463" s="87"/>
      <c r="G463" s="87"/>
      <c r="H463" s="93"/>
      <c r="I463" s="93"/>
      <c r="J463" s="55"/>
    </row>
    <row r="464" spans="1:10" ht="33.75">
      <c r="A464" s="21" t="s">
        <v>64</v>
      </c>
      <c r="B464" s="87"/>
      <c r="C464" s="87"/>
      <c r="D464" s="87"/>
      <c r="E464" s="93"/>
      <c r="F464" s="87">
        <v>4725346.58</v>
      </c>
      <c r="G464" s="87">
        <v>4725346.58</v>
      </c>
      <c r="H464" s="93">
        <f>G464/F464</f>
        <v>1</v>
      </c>
      <c r="I464" s="93"/>
      <c r="J464" s="60" t="s">
        <v>701</v>
      </c>
    </row>
    <row r="465" spans="1:10" ht="12.75">
      <c r="A465" s="21" t="s">
        <v>77</v>
      </c>
      <c r="B465" s="87">
        <v>103971</v>
      </c>
      <c r="C465" s="87">
        <v>103971</v>
      </c>
      <c r="D465" s="87">
        <f>C465-B465</f>
        <v>0</v>
      </c>
      <c r="E465" s="93">
        <f>C465/B465</f>
        <v>1</v>
      </c>
      <c r="F465" s="87"/>
      <c r="G465" s="87"/>
      <c r="H465" s="93"/>
      <c r="I465" s="93"/>
      <c r="J465" s="55"/>
    </row>
    <row r="466" spans="1:10" s="61" customFormat="1" ht="15" customHeight="1">
      <c r="A466" s="20" t="s">
        <v>78</v>
      </c>
      <c r="B466" s="119">
        <v>19714.2</v>
      </c>
      <c r="C466" s="119">
        <v>19714.2</v>
      </c>
      <c r="D466" s="119">
        <f>C466-B466</f>
        <v>0</v>
      </c>
      <c r="E466" s="120">
        <f>C466/B466</f>
        <v>1</v>
      </c>
      <c r="F466" s="119"/>
      <c r="G466" s="119"/>
      <c r="H466" s="120"/>
      <c r="I466" s="120"/>
      <c r="J466" s="1"/>
    </row>
    <row r="467" spans="1:10" s="61" customFormat="1" ht="26.25" customHeight="1">
      <c r="A467" s="20" t="s">
        <v>79</v>
      </c>
      <c r="B467" s="87">
        <v>2672</v>
      </c>
      <c r="C467" s="87">
        <v>2672</v>
      </c>
      <c r="D467" s="87">
        <f>C467-B467</f>
        <v>0</v>
      </c>
      <c r="E467" s="93">
        <f>C467/B467</f>
        <v>1</v>
      </c>
      <c r="F467" s="119"/>
      <c r="G467" s="119"/>
      <c r="H467" s="120"/>
      <c r="I467" s="120"/>
      <c r="J467" s="1"/>
    </row>
    <row r="468" spans="1:10" s="61" customFormat="1" ht="26.25" customHeight="1">
      <c r="A468" s="20" t="s">
        <v>80</v>
      </c>
      <c r="B468" s="87">
        <v>2663.3</v>
      </c>
      <c r="C468" s="87">
        <v>2663.3</v>
      </c>
      <c r="D468" s="87">
        <f>C468-B468</f>
        <v>0</v>
      </c>
      <c r="E468" s="93">
        <f>C468/B468</f>
        <v>1</v>
      </c>
      <c r="F468" s="119"/>
      <c r="G468" s="119"/>
      <c r="H468" s="120"/>
      <c r="I468" s="120"/>
      <c r="J468" s="1"/>
    </row>
    <row r="469" spans="1:10" ht="33.75">
      <c r="A469" s="21" t="s">
        <v>65</v>
      </c>
      <c r="B469" s="87"/>
      <c r="C469" s="87"/>
      <c r="D469" s="87"/>
      <c r="E469" s="93"/>
      <c r="F469" s="87">
        <v>24211966.93</v>
      </c>
      <c r="G469" s="87">
        <v>22373451.23</v>
      </c>
      <c r="H469" s="93">
        <f>G469/F469</f>
        <v>0.9240658264024814</v>
      </c>
      <c r="I469" s="93"/>
      <c r="J469" s="44" t="s">
        <v>43</v>
      </c>
    </row>
    <row r="470" spans="1:10" ht="25.5">
      <c r="A470" s="21" t="s">
        <v>81</v>
      </c>
      <c r="B470" s="87">
        <v>1513.9</v>
      </c>
      <c r="C470" s="87">
        <v>1513.9</v>
      </c>
      <c r="D470" s="87">
        <f aca="true" t="shared" si="35" ref="D470:D475">C470-B470</f>
        <v>0</v>
      </c>
      <c r="E470" s="93">
        <f aca="true" t="shared" si="36" ref="E470:E475">C470/B470</f>
        <v>1</v>
      </c>
      <c r="F470" s="87"/>
      <c r="G470" s="87"/>
      <c r="H470" s="117"/>
      <c r="I470" s="93"/>
      <c r="J470" s="7"/>
    </row>
    <row r="471" spans="1:10" ht="25.5">
      <c r="A471" s="21" t="s">
        <v>82</v>
      </c>
      <c r="B471" s="87">
        <v>25.93</v>
      </c>
      <c r="C471" s="87">
        <v>25.93</v>
      </c>
      <c r="D471" s="87">
        <f t="shared" si="35"/>
        <v>0</v>
      </c>
      <c r="E471" s="93">
        <f t="shared" si="36"/>
        <v>1</v>
      </c>
      <c r="F471" s="87"/>
      <c r="G471" s="87"/>
      <c r="H471" s="117"/>
      <c r="I471" s="93"/>
      <c r="J471" s="7"/>
    </row>
    <row r="472" spans="1:10" ht="63.75">
      <c r="A472" s="21" t="s">
        <v>335</v>
      </c>
      <c r="B472" s="87">
        <v>2683</v>
      </c>
      <c r="C472" s="87">
        <v>2683</v>
      </c>
      <c r="D472" s="87">
        <f t="shared" si="35"/>
        <v>0</v>
      </c>
      <c r="E472" s="93">
        <f t="shared" si="36"/>
        <v>1</v>
      </c>
      <c r="F472" s="87"/>
      <c r="G472" s="87"/>
      <c r="H472" s="117"/>
      <c r="I472" s="93"/>
      <c r="J472" s="7"/>
    </row>
    <row r="473" spans="1:10" ht="25.5">
      <c r="A473" s="21" t="s">
        <v>336</v>
      </c>
      <c r="B473" s="87">
        <v>1</v>
      </c>
      <c r="C473" s="87">
        <v>1</v>
      </c>
      <c r="D473" s="87">
        <f t="shared" si="35"/>
        <v>0</v>
      </c>
      <c r="E473" s="93">
        <f t="shared" si="36"/>
        <v>1</v>
      </c>
      <c r="F473" s="87"/>
      <c r="G473" s="87"/>
      <c r="H473" s="117"/>
      <c r="I473" s="93"/>
      <c r="J473" s="7"/>
    </row>
    <row r="474" spans="1:10" ht="25.5">
      <c r="A474" s="21" t="s">
        <v>342</v>
      </c>
      <c r="B474" s="87">
        <v>1</v>
      </c>
      <c r="C474" s="87">
        <v>1</v>
      </c>
      <c r="D474" s="87">
        <f t="shared" si="35"/>
        <v>0</v>
      </c>
      <c r="E474" s="93">
        <f t="shared" si="36"/>
        <v>1</v>
      </c>
      <c r="F474" s="87"/>
      <c r="G474" s="87"/>
      <c r="H474" s="117"/>
      <c r="I474" s="93"/>
      <c r="J474" s="7"/>
    </row>
    <row r="475" spans="1:10" ht="25.5">
      <c r="A475" s="21" t="s">
        <v>343</v>
      </c>
      <c r="B475" s="87">
        <v>86</v>
      </c>
      <c r="C475" s="87">
        <v>86</v>
      </c>
      <c r="D475" s="87">
        <f t="shared" si="35"/>
        <v>0</v>
      </c>
      <c r="E475" s="87">
        <f t="shared" si="36"/>
        <v>1</v>
      </c>
      <c r="F475" s="87"/>
      <c r="G475" s="87"/>
      <c r="H475" s="87"/>
      <c r="I475" s="87"/>
      <c r="J475" s="7"/>
    </row>
    <row r="476" spans="1:10" ht="12.75">
      <c r="A476" s="21" t="s">
        <v>44</v>
      </c>
      <c r="B476" s="87"/>
      <c r="C476" s="87"/>
      <c r="D476" s="87"/>
      <c r="E476" s="87"/>
      <c r="F476" s="87">
        <v>3250415.16</v>
      </c>
      <c r="G476" s="87">
        <v>3250415.16</v>
      </c>
      <c r="H476" s="93">
        <f>G476/F476</f>
        <v>1</v>
      </c>
      <c r="I476" s="87"/>
      <c r="J476" s="7"/>
    </row>
    <row r="477" spans="1:10" ht="38.25">
      <c r="A477" s="21" t="s">
        <v>526</v>
      </c>
      <c r="B477" s="87">
        <v>558.4</v>
      </c>
      <c r="C477" s="87">
        <v>558.4</v>
      </c>
      <c r="D477" s="87">
        <f aca="true" t="shared" si="37" ref="D477:D485">C477-B477</f>
        <v>0</v>
      </c>
      <c r="E477" s="87">
        <f aca="true" t="shared" si="38" ref="E477:E485">C477/B477</f>
        <v>1</v>
      </c>
      <c r="F477" s="87"/>
      <c r="G477" s="87"/>
      <c r="H477" s="87"/>
      <c r="I477" s="87"/>
      <c r="J477" s="7"/>
    </row>
    <row r="478" spans="1:10" ht="25.5">
      <c r="A478" s="21" t="s">
        <v>527</v>
      </c>
      <c r="B478" s="87">
        <v>122</v>
      </c>
      <c r="C478" s="87">
        <v>122</v>
      </c>
      <c r="D478" s="87">
        <f t="shared" si="37"/>
        <v>0</v>
      </c>
      <c r="E478" s="87">
        <f t="shared" si="38"/>
        <v>1</v>
      </c>
      <c r="F478" s="87"/>
      <c r="G478" s="87"/>
      <c r="H478" s="87"/>
      <c r="I478" s="87"/>
      <c r="J478" s="7"/>
    </row>
    <row r="479" spans="1:10" ht="25.5" customHeight="1">
      <c r="A479" s="493" t="s">
        <v>528</v>
      </c>
      <c r="B479" s="87">
        <v>330.1</v>
      </c>
      <c r="C479" s="87">
        <v>330.1</v>
      </c>
      <c r="D479" s="87">
        <f t="shared" si="37"/>
        <v>0</v>
      </c>
      <c r="E479" s="87">
        <f t="shared" si="38"/>
        <v>1</v>
      </c>
      <c r="F479" s="87"/>
      <c r="G479" s="87"/>
      <c r="H479" s="87"/>
      <c r="I479" s="87"/>
      <c r="J479" s="7"/>
    </row>
    <row r="480" spans="1:10" ht="12.75">
      <c r="A480" s="493"/>
      <c r="B480" s="87">
        <v>42</v>
      </c>
      <c r="C480" s="87">
        <v>42</v>
      </c>
      <c r="D480" s="87">
        <f t="shared" si="37"/>
        <v>0</v>
      </c>
      <c r="E480" s="87">
        <f t="shared" si="38"/>
        <v>1</v>
      </c>
      <c r="F480" s="87"/>
      <c r="G480" s="87"/>
      <c r="H480" s="87"/>
      <c r="I480" s="87"/>
      <c r="J480" s="7"/>
    </row>
    <row r="481" spans="1:10" ht="25.5">
      <c r="A481" s="21" t="s">
        <v>529</v>
      </c>
      <c r="B481" s="87">
        <v>193</v>
      </c>
      <c r="C481" s="87">
        <v>193</v>
      </c>
      <c r="D481" s="87">
        <f t="shared" si="37"/>
        <v>0</v>
      </c>
      <c r="E481" s="87">
        <f t="shared" si="38"/>
        <v>1</v>
      </c>
      <c r="F481" s="87"/>
      <c r="G481" s="87"/>
      <c r="H481" s="87"/>
      <c r="I481" s="87"/>
      <c r="J481" s="7"/>
    </row>
    <row r="482" spans="1:10" ht="25.5">
      <c r="A482" s="21" t="s">
        <v>530</v>
      </c>
      <c r="B482" s="87">
        <v>110</v>
      </c>
      <c r="C482" s="87">
        <v>110</v>
      </c>
      <c r="D482" s="87">
        <f t="shared" si="37"/>
        <v>0</v>
      </c>
      <c r="E482" s="87">
        <f t="shared" si="38"/>
        <v>1</v>
      </c>
      <c r="F482" s="87"/>
      <c r="G482" s="87"/>
      <c r="H482" s="87"/>
      <c r="I482" s="87"/>
      <c r="J482" s="7"/>
    </row>
    <row r="483" spans="1:10" ht="12.75">
      <c r="A483" s="21" t="s">
        <v>531</v>
      </c>
      <c r="B483" s="87">
        <v>74.45</v>
      </c>
      <c r="C483" s="87">
        <v>74.45</v>
      </c>
      <c r="D483" s="87">
        <f t="shared" si="37"/>
        <v>0</v>
      </c>
      <c r="E483" s="87">
        <f t="shared" si="38"/>
        <v>1</v>
      </c>
      <c r="F483" s="87"/>
      <c r="G483" s="87"/>
      <c r="H483" s="87"/>
      <c r="I483" s="87"/>
      <c r="J483" s="7"/>
    </row>
    <row r="484" spans="1:10" ht="25.5">
      <c r="A484" s="21" t="s">
        <v>532</v>
      </c>
      <c r="B484" s="87">
        <v>20.2</v>
      </c>
      <c r="C484" s="87">
        <v>20.2</v>
      </c>
      <c r="D484" s="87">
        <f t="shared" si="37"/>
        <v>0</v>
      </c>
      <c r="E484" s="87">
        <f t="shared" si="38"/>
        <v>1</v>
      </c>
      <c r="F484" s="87"/>
      <c r="G484" s="87"/>
      <c r="H484" s="87"/>
      <c r="I484" s="87"/>
      <c r="J484" s="7"/>
    </row>
    <row r="485" spans="1:10" ht="25.5">
      <c r="A485" s="21" t="s">
        <v>533</v>
      </c>
      <c r="B485" s="87">
        <v>4</v>
      </c>
      <c r="C485" s="87">
        <v>4</v>
      </c>
      <c r="D485" s="87">
        <f t="shared" si="37"/>
        <v>0</v>
      </c>
      <c r="E485" s="87">
        <f t="shared" si="38"/>
        <v>1</v>
      </c>
      <c r="F485" s="87"/>
      <c r="G485" s="87"/>
      <c r="H485" s="87"/>
      <c r="I485" s="87"/>
      <c r="J485" s="7"/>
    </row>
    <row r="486" spans="1:10" ht="12.75">
      <c r="A486" s="21" t="s">
        <v>344</v>
      </c>
      <c r="B486" s="81"/>
      <c r="C486" s="81"/>
      <c r="D486" s="87"/>
      <c r="E486" s="93"/>
      <c r="F486" s="87">
        <v>349574.56</v>
      </c>
      <c r="G486" s="87">
        <v>349574.56</v>
      </c>
      <c r="H486" s="93">
        <f>G486/F486</f>
        <v>1</v>
      </c>
      <c r="I486" s="93"/>
      <c r="J486" s="60"/>
    </row>
    <row r="487" spans="1:10" ht="25.5">
      <c r="A487" s="21" t="s">
        <v>535</v>
      </c>
      <c r="B487" s="81">
        <v>1</v>
      </c>
      <c r="C487" s="81">
        <v>1</v>
      </c>
      <c r="D487" s="87">
        <f>C487-B487</f>
        <v>0</v>
      </c>
      <c r="E487" s="93">
        <f>C487/B487</f>
        <v>1</v>
      </c>
      <c r="F487" s="87"/>
      <c r="G487" s="87"/>
      <c r="H487" s="93"/>
      <c r="I487" s="93"/>
      <c r="J487" s="60"/>
    </row>
    <row r="488" spans="1:10" ht="25.5">
      <c r="A488" s="21" t="s">
        <v>345</v>
      </c>
      <c r="B488" s="81">
        <v>2</v>
      </c>
      <c r="C488" s="81">
        <v>2</v>
      </c>
      <c r="D488" s="87">
        <f>C488-B488</f>
        <v>0</v>
      </c>
      <c r="E488" s="93">
        <f>C488/B488</f>
        <v>1</v>
      </c>
      <c r="F488" s="87"/>
      <c r="G488" s="87"/>
      <c r="H488" s="93"/>
      <c r="I488" s="93"/>
      <c r="J488" s="55"/>
    </row>
    <row r="489" spans="1:10" ht="25.5">
      <c r="A489" s="21" t="s">
        <v>534</v>
      </c>
      <c r="B489" s="81">
        <v>4</v>
      </c>
      <c r="C489" s="81">
        <v>4</v>
      </c>
      <c r="D489" s="87">
        <f>C489-B489</f>
        <v>0</v>
      </c>
      <c r="E489" s="93">
        <f>C489/B489</f>
        <v>1</v>
      </c>
      <c r="F489" s="87"/>
      <c r="G489" s="87"/>
      <c r="H489" s="93"/>
      <c r="I489" s="93"/>
      <c r="J489" s="55"/>
    </row>
    <row r="490" spans="1:10" ht="12.75">
      <c r="A490" s="366" t="s">
        <v>66</v>
      </c>
      <c r="B490" s="276">
        <f>SUM(B449:B489)</f>
        <v>1522202.153</v>
      </c>
      <c r="C490" s="276">
        <f>SUM(C449:C489)</f>
        <v>1522202.153</v>
      </c>
      <c r="D490" s="276">
        <f>C490-B490</f>
        <v>0</v>
      </c>
      <c r="E490" s="157">
        <f>C490/B490</f>
        <v>1</v>
      </c>
      <c r="F490" s="276">
        <f>SUM(F449:F486)</f>
        <v>105198734.01999998</v>
      </c>
      <c r="G490" s="276">
        <f>SUM(G449:G486)</f>
        <v>98179974.22</v>
      </c>
      <c r="H490" s="157">
        <f>(H449+H453+H459+H462+H464+H469+H476+H486)/8</f>
        <v>0.9552984273592591</v>
      </c>
      <c r="I490" s="157"/>
      <c r="J490" s="41"/>
    </row>
    <row r="491" spans="1:10" ht="12.75" customHeight="1">
      <c r="A491" s="485" t="s">
        <v>1</v>
      </c>
      <c r="B491" s="485"/>
      <c r="C491" s="485"/>
      <c r="D491" s="485"/>
      <c r="E491" s="485"/>
      <c r="F491" s="485"/>
      <c r="G491" s="485"/>
      <c r="H491" s="485"/>
      <c r="I491" s="485"/>
      <c r="J491" s="485"/>
    </row>
    <row r="492" spans="1:10" ht="25.5">
      <c r="A492" s="62" t="s">
        <v>573</v>
      </c>
      <c r="B492" s="87">
        <v>6</v>
      </c>
      <c r="C492" s="87">
        <v>6</v>
      </c>
      <c r="D492" s="87">
        <f>C492-B492</f>
        <v>0</v>
      </c>
      <c r="E492" s="93">
        <f>C492/B492</f>
        <v>1</v>
      </c>
      <c r="F492" s="87">
        <v>243278.14</v>
      </c>
      <c r="G492" s="87">
        <v>243278.14</v>
      </c>
      <c r="H492" s="93">
        <f>G492/F492</f>
        <v>1</v>
      </c>
      <c r="I492" s="93"/>
      <c r="J492" s="41"/>
    </row>
    <row r="493" spans="1:10" ht="25.5">
      <c r="A493" s="62" t="s">
        <v>574</v>
      </c>
      <c r="B493" s="87">
        <v>1</v>
      </c>
      <c r="C493" s="87">
        <v>1</v>
      </c>
      <c r="D493" s="87">
        <f>C493-B493</f>
        <v>0</v>
      </c>
      <c r="E493" s="93">
        <f>C493/B493</f>
        <v>1</v>
      </c>
      <c r="F493" s="87">
        <v>112019</v>
      </c>
      <c r="G493" s="87">
        <v>112019</v>
      </c>
      <c r="H493" s="93">
        <f>G493/F493</f>
        <v>1</v>
      </c>
      <c r="I493" s="93"/>
      <c r="J493" s="41"/>
    </row>
    <row r="494" spans="1:10" ht="12.75">
      <c r="A494" s="367" t="s">
        <v>2</v>
      </c>
      <c r="B494" s="276">
        <f>SUM(B492:B493)</f>
        <v>7</v>
      </c>
      <c r="C494" s="276">
        <f>SUM(C492:C493)</f>
        <v>7</v>
      </c>
      <c r="D494" s="276">
        <f>C494-B494</f>
        <v>0</v>
      </c>
      <c r="E494" s="157">
        <f>C494/B494</f>
        <v>1</v>
      </c>
      <c r="F494" s="276">
        <f>SUM(F492:F493)</f>
        <v>355297.14</v>
      </c>
      <c r="G494" s="276">
        <f>SUM(G492:G493)</f>
        <v>355297.14</v>
      </c>
      <c r="H494" s="157">
        <f>G494/F494</f>
        <v>1</v>
      </c>
      <c r="I494" s="93"/>
      <c r="J494" s="41"/>
    </row>
    <row r="495" spans="1:10" ht="12.75" customHeight="1">
      <c r="A495" s="485" t="s">
        <v>3</v>
      </c>
      <c r="B495" s="485"/>
      <c r="C495" s="485"/>
      <c r="D495" s="485"/>
      <c r="E495" s="485"/>
      <c r="F495" s="485"/>
      <c r="G495" s="485"/>
      <c r="H495" s="485"/>
      <c r="I495" s="485"/>
      <c r="J495" s="41"/>
    </row>
    <row r="496" spans="1:10" ht="63.75">
      <c r="A496" s="7" t="s">
        <v>702</v>
      </c>
      <c r="B496" s="87"/>
      <c r="C496" s="87"/>
      <c r="D496" s="87"/>
      <c r="E496" s="93"/>
      <c r="F496" s="87">
        <v>8142675.02</v>
      </c>
      <c r="G496" s="87">
        <v>8117246.23</v>
      </c>
      <c r="H496" s="93">
        <f>G496/F496</f>
        <v>0.9968770962935962</v>
      </c>
      <c r="I496" s="93"/>
      <c r="J496" s="63"/>
    </row>
    <row r="497" spans="1:10" ht="12.75">
      <c r="A497" s="7" t="s">
        <v>346</v>
      </c>
      <c r="B497" s="87">
        <v>19.9</v>
      </c>
      <c r="C497" s="87">
        <v>19.9</v>
      </c>
      <c r="D497" s="87">
        <f aca="true" t="shared" si="39" ref="D497:D531">C497-B497</f>
        <v>0</v>
      </c>
      <c r="E497" s="93">
        <f>C497/B497</f>
        <v>1</v>
      </c>
      <c r="F497" s="87"/>
      <c r="G497" s="87"/>
      <c r="H497" s="122"/>
      <c r="I497" s="93"/>
      <c r="J497" s="47"/>
    </row>
    <row r="498" spans="1:10" ht="25.5">
      <c r="A498" s="7" t="s">
        <v>347</v>
      </c>
      <c r="B498" s="87">
        <v>5</v>
      </c>
      <c r="C498" s="87">
        <v>5</v>
      </c>
      <c r="D498" s="87">
        <f t="shared" si="39"/>
        <v>0</v>
      </c>
      <c r="E498" s="93">
        <f>C498/B498</f>
        <v>1</v>
      </c>
      <c r="F498" s="87"/>
      <c r="G498" s="87"/>
      <c r="H498" s="122"/>
      <c r="I498" s="93"/>
      <c r="J498" s="47"/>
    </row>
    <row r="499" spans="1:10" ht="12.75">
      <c r="A499" s="7" t="s">
        <v>348</v>
      </c>
      <c r="B499" s="87">
        <v>375</v>
      </c>
      <c r="C499" s="87">
        <v>375</v>
      </c>
      <c r="D499" s="87">
        <f t="shared" si="39"/>
        <v>0</v>
      </c>
      <c r="E499" s="93">
        <f>C499/B499</f>
        <v>1</v>
      </c>
      <c r="F499" s="87"/>
      <c r="G499" s="87"/>
      <c r="H499" s="122"/>
      <c r="I499" s="93"/>
      <c r="J499" s="47"/>
    </row>
    <row r="500" spans="1:10" ht="25.5">
      <c r="A500" s="7" t="s">
        <v>703</v>
      </c>
      <c r="B500" s="87">
        <v>96</v>
      </c>
      <c r="C500" s="87">
        <v>96</v>
      </c>
      <c r="D500" s="87">
        <f t="shared" si="39"/>
        <v>0</v>
      </c>
      <c r="E500" s="93">
        <f>C500/B500</f>
        <v>1</v>
      </c>
      <c r="F500" s="87"/>
      <c r="G500" s="87"/>
      <c r="H500" s="122"/>
      <c r="I500" s="93"/>
      <c r="J500" s="47"/>
    </row>
    <row r="501" spans="1:10" ht="38.25">
      <c r="A501" s="55" t="s">
        <v>4</v>
      </c>
      <c r="B501" s="87"/>
      <c r="C501" s="87"/>
      <c r="D501" s="87"/>
      <c r="E501" s="93"/>
      <c r="F501" s="87">
        <v>17131687.5</v>
      </c>
      <c r="G501" s="87">
        <v>16806881.89</v>
      </c>
      <c r="H501" s="93">
        <f>G501/F501</f>
        <v>0.9810406528837279</v>
      </c>
      <c r="I501" s="93"/>
      <c r="J501" s="63" t="s">
        <v>45</v>
      </c>
    </row>
    <row r="502" spans="1:10" ht="25.5">
      <c r="A502" s="55" t="s">
        <v>349</v>
      </c>
      <c r="B502" s="87">
        <v>17529</v>
      </c>
      <c r="C502" s="87">
        <v>17529</v>
      </c>
      <c r="D502" s="87">
        <f t="shared" si="39"/>
        <v>0</v>
      </c>
      <c r="E502" s="93">
        <f>C502/B502</f>
        <v>1</v>
      </c>
      <c r="F502" s="87"/>
      <c r="G502" s="87"/>
      <c r="H502" s="122"/>
      <c r="I502" s="93"/>
      <c r="J502" s="47"/>
    </row>
    <row r="503" spans="1:10" ht="51">
      <c r="A503" s="55" t="s">
        <v>5</v>
      </c>
      <c r="B503" s="87"/>
      <c r="C503" s="87"/>
      <c r="D503" s="87"/>
      <c r="E503" s="93"/>
      <c r="F503" s="87">
        <v>31717388.74</v>
      </c>
      <c r="G503" s="87">
        <v>30824940.7</v>
      </c>
      <c r="H503" s="93">
        <f>G503/F503</f>
        <v>0.9718624995482525</v>
      </c>
      <c r="I503" s="93"/>
      <c r="J503" s="63" t="s">
        <v>45</v>
      </c>
    </row>
    <row r="504" spans="1:10" ht="25.5">
      <c r="A504" s="55" t="s">
        <v>350</v>
      </c>
      <c r="B504" s="87">
        <v>1000</v>
      </c>
      <c r="C504" s="87">
        <v>1000</v>
      </c>
      <c r="D504" s="87">
        <f t="shared" si="39"/>
        <v>0</v>
      </c>
      <c r="E504" s="93">
        <f>C504/B504</f>
        <v>1</v>
      </c>
      <c r="F504" s="87"/>
      <c r="G504" s="87"/>
      <c r="H504" s="117"/>
      <c r="I504" s="93"/>
      <c r="J504" s="47"/>
    </row>
    <row r="505" spans="1:10" ht="12.75">
      <c r="A505" s="55" t="s">
        <v>351</v>
      </c>
      <c r="B505" s="87">
        <v>240</v>
      </c>
      <c r="C505" s="87">
        <v>240</v>
      </c>
      <c r="D505" s="87">
        <f t="shared" si="39"/>
        <v>0</v>
      </c>
      <c r="E505" s="93">
        <f>C505/B505</f>
        <v>1</v>
      </c>
      <c r="F505" s="87"/>
      <c r="G505" s="87"/>
      <c r="H505" s="117"/>
      <c r="I505" s="93"/>
      <c r="J505" s="47"/>
    </row>
    <row r="506" spans="1:10" ht="25.5">
      <c r="A506" s="55" t="s">
        <v>352</v>
      </c>
      <c r="B506" s="87">
        <v>94</v>
      </c>
      <c r="C506" s="87">
        <v>94</v>
      </c>
      <c r="D506" s="87">
        <f t="shared" si="39"/>
        <v>0</v>
      </c>
      <c r="E506" s="93">
        <f>C506/B506</f>
        <v>1</v>
      </c>
      <c r="F506" s="87"/>
      <c r="G506" s="87"/>
      <c r="H506" s="117"/>
      <c r="I506" s="93"/>
      <c r="J506" s="47"/>
    </row>
    <row r="507" spans="1:10" ht="25.5">
      <c r="A507" s="55" t="s">
        <v>353</v>
      </c>
      <c r="B507" s="87">
        <v>191</v>
      </c>
      <c r="C507" s="87">
        <v>191</v>
      </c>
      <c r="D507" s="87">
        <f t="shared" si="39"/>
        <v>0</v>
      </c>
      <c r="E507" s="93">
        <f>C507/B507</f>
        <v>1</v>
      </c>
      <c r="F507" s="87"/>
      <c r="G507" s="87"/>
      <c r="H507" s="117"/>
      <c r="I507" s="93"/>
      <c r="J507" s="47"/>
    </row>
    <row r="508" spans="1:10" ht="114.75">
      <c r="A508" s="7" t="s">
        <v>476</v>
      </c>
      <c r="B508" s="87"/>
      <c r="C508" s="87"/>
      <c r="D508" s="87"/>
      <c r="E508" s="93"/>
      <c r="F508" s="87">
        <v>37579421.62</v>
      </c>
      <c r="G508" s="87">
        <v>36986143.48</v>
      </c>
      <c r="H508" s="93">
        <f>G508/F508</f>
        <v>0.9842126857087057</v>
      </c>
      <c r="I508" s="93"/>
      <c r="J508" s="63" t="s">
        <v>45</v>
      </c>
    </row>
    <row r="509" spans="1:10" ht="25.5">
      <c r="A509" s="7" t="s">
        <v>704</v>
      </c>
      <c r="B509" s="87">
        <v>9</v>
      </c>
      <c r="C509" s="87">
        <v>9</v>
      </c>
      <c r="D509" s="87">
        <f t="shared" si="39"/>
        <v>0</v>
      </c>
      <c r="E509" s="93">
        <f aca="true" t="shared" si="40" ref="E509:E521">C509/B509</f>
        <v>1</v>
      </c>
      <c r="F509" s="87"/>
      <c r="G509" s="87"/>
      <c r="H509" s="117"/>
      <c r="I509" s="93"/>
      <c r="J509" s="47"/>
    </row>
    <row r="510" spans="1:10" ht="25.5">
      <c r="A510" s="7" t="s">
        <v>477</v>
      </c>
      <c r="B510" s="87">
        <v>62.5</v>
      </c>
      <c r="C510" s="87">
        <v>62.5</v>
      </c>
      <c r="D510" s="87">
        <f t="shared" si="39"/>
        <v>0</v>
      </c>
      <c r="E510" s="93">
        <f t="shared" si="40"/>
        <v>1</v>
      </c>
      <c r="F510" s="87"/>
      <c r="G510" s="87"/>
      <c r="H510" s="117"/>
      <c r="I510" s="93"/>
      <c r="J510" s="47"/>
    </row>
    <row r="511" spans="1:10" ht="25.5">
      <c r="A511" s="7" t="s">
        <v>478</v>
      </c>
      <c r="B511" s="87">
        <v>1</v>
      </c>
      <c r="C511" s="87">
        <v>1</v>
      </c>
      <c r="D511" s="87">
        <f t="shared" si="39"/>
        <v>0</v>
      </c>
      <c r="E511" s="93">
        <f t="shared" si="40"/>
        <v>1</v>
      </c>
      <c r="F511" s="87"/>
      <c r="G511" s="87"/>
      <c r="H511" s="117"/>
      <c r="I511" s="93"/>
      <c r="J511" s="47"/>
    </row>
    <row r="512" spans="1:10" ht="25.5">
      <c r="A512" s="7" t="s">
        <v>46</v>
      </c>
      <c r="B512" s="87">
        <v>100.7</v>
      </c>
      <c r="C512" s="87">
        <v>100.7</v>
      </c>
      <c r="D512" s="87">
        <f t="shared" si="39"/>
        <v>0</v>
      </c>
      <c r="E512" s="93">
        <f t="shared" si="40"/>
        <v>1</v>
      </c>
      <c r="F512" s="87"/>
      <c r="G512" s="87"/>
      <c r="H512" s="117"/>
      <c r="I512" s="93"/>
      <c r="J512" s="47"/>
    </row>
    <row r="513" spans="1:10" ht="25.5">
      <c r="A513" s="7" t="s">
        <v>479</v>
      </c>
      <c r="B513" s="87">
        <v>2316</v>
      </c>
      <c r="C513" s="87">
        <v>2316</v>
      </c>
      <c r="D513" s="87">
        <f t="shared" si="39"/>
        <v>0</v>
      </c>
      <c r="E513" s="93">
        <f t="shared" si="40"/>
        <v>1</v>
      </c>
      <c r="F513" s="87"/>
      <c r="G513" s="87"/>
      <c r="H513" s="117"/>
      <c r="I513" s="93"/>
      <c r="J513" s="47"/>
    </row>
    <row r="514" spans="1:10" ht="25.5">
      <c r="A514" s="7" t="s">
        <v>480</v>
      </c>
      <c r="B514" s="87">
        <v>8769</v>
      </c>
      <c r="C514" s="87">
        <v>8769</v>
      </c>
      <c r="D514" s="87">
        <f t="shared" si="39"/>
        <v>0</v>
      </c>
      <c r="E514" s="93">
        <f t="shared" si="40"/>
        <v>1</v>
      </c>
      <c r="F514" s="87"/>
      <c r="G514" s="87"/>
      <c r="H514" s="117"/>
      <c r="I514" s="93"/>
      <c r="J514" s="47"/>
    </row>
    <row r="515" spans="1:10" ht="12.75">
      <c r="A515" s="7" t="s">
        <v>47</v>
      </c>
      <c r="B515" s="87">
        <v>1</v>
      </c>
      <c r="C515" s="87">
        <v>1</v>
      </c>
      <c r="D515" s="87">
        <f t="shared" si="39"/>
        <v>0</v>
      </c>
      <c r="E515" s="93">
        <f t="shared" si="40"/>
        <v>1</v>
      </c>
      <c r="F515" s="87"/>
      <c r="G515" s="87"/>
      <c r="H515" s="117"/>
      <c r="I515" s="93"/>
      <c r="J515" s="47"/>
    </row>
    <row r="516" spans="1:10" ht="12.75">
      <c r="A516" s="7" t="s">
        <v>48</v>
      </c>
      <c r="B516" s="87">
        <v>162302</v>
      </c>
      <c r="C516" s="87">
        <v>162302</v>
      </c>
      <c r="D516" s="87">
        <f t="shared" si="39"/>
        <v>0</v>
      </c>
      <c r="E516" s="93">
        <f t="shared" si="40"/>
        <v>1</v>
      </c>
      <c r="F516" s="87"/>
      <c r="G516" s="87"/>
      <c r="H516" s="117"/>
      <c r="I516" s="93"/>
      <c r="J516" s="47"/>
    </row>
    <row r="517" spans="1:10" ht="25.5">
      <c r="A517" s="7" t="s">
        <v>49</v>
      </c>
      <c r="B517" s="87">
        <v>8131</v>
      </c>
      <c r="C517" s="87">
        <v>8131</v>
      </c>
      <c r="D517" s="87">
        <f t="shared" si="39"/>
        <v>0</v>
      </c>
      <c r="E517" s="93">
        <f t="shared" si="40"/>
        <v>1</v>
      </c>
      <c r="F517" s="87"/>
      <c r="G517" s="87"/>
      <c r="H517" s="117"/>
      <c r="I517" s="93"/>
      <c r="J517" s="47"/>
    </row>
    <row r="518" spans="1:10" ht="25.5">
      <c r="A518" s="7" t="s">
        <v>79</v>
      </c>
      <c r="B518" s="87">
        <v>736</v>
      </c>
      <c r="C518" s="87">
        <v>736</v>
      </c>
      <c r="D518" s="87">
        <f t="shared" si="39"/>
        <v>0</v>
      </c>
      <c r="E518" s="93">
        <f t="shared" si="40"/>
        <v>1</v>
      </c>
      <c r="F518" s="87"/>
      <c r="G518" s="87"/>
      <c r="H518" s="117"/>
      <c r="I518" s="93"/>
      <c r="J518" s="47"/>
    </row>
    <row r="519" spans="1:10" ht="25.5">
      <c r="A519" s="7" t="s">
        <v>336</v>
      </c>
      <c r="B519" s="87">
        <v>1</v>
      </c>
      <c r="C519" s="87">
        <v>1</v>
      </c>
      <c r="D519" s="87">
        <f t="shared" si="39"/>
        <v>0</v>
      </c>
      <c r="E519" s="93">
        <f t="shared" si="40"/>
        <v>1</v>
      </c>
      <c r="F519" s="87"/>
      <c r="G519" s="87"/>
      <c r="H519" s="117"/>
      <c r="I519" s="93"/>
      <c r="J519" s="47"/>
    </row>
    <row r="520" spans="1:10" ht="25.5">
      <c r="A520" s="7" t="s">
        <v>50</v>
      </c>
      <c r="B520" s="87">
        <v>577</v>
      </c>
      <c r="C520" s="87">
        <v>577</v>
      </c>
      <c r="D520" s="87">
        <f t="shared" si="39"/>
        <v>0</v>
      </c>
      <c r="E520" s="93">
        <f t="shared" si="40"/>
        <v>1</v>
      </c>
      <c r="F520" s="87"/>
      <c r="G520" s="87"/>
      <c r="H520" s="117"/>
      <c r="I520" s="93"/>
      <c r="J520" s="47"/>
    </row>
    <row r="521" spans="1:10" ht="25.5">
      <c r="A521" s="7" t="s">
        <v>336</v>
      </c>
      <c r="B521" s="87">
        <v>1</v>
      </c>
      <c r="C521" s="87">
        <v>1</v>
      </c>
      <c r="D521" s="87">
        <f t="shared" si="39"/>
        <v>0</v>
      </c>
      <c r="E521" s="93">
        <f t="shared" si="40"/>
        <v>1</v>
      </c>
      <c r="F521" s="87"/>
      <c r="G521" s="87"/>
      <c r="H521" s="117"/>
      <c r="I521" s="93"/>
      <c r="J521" s="47"/>
    </row>
    <row r="522" spans="1:10" ht="33.75">
      <c r="A522" s="7" t="s">
        <v>404</v>
      </c>
      <c r="B522" s="87"/>
      <c r="C522" s="87"/>
      <c r="D522" s="87"/>
      <c r="E522" s="93"/>
      <c r="F522" s="87">
        <v>5108606.24</v>
      </c>
      <c r="G522" s="87">
        <v>4499152.85</v>
      </c>
      <c r="H522" s="93">
        <f>G522/F522</f>
        <v>0.8807006527087512</v>
      </c>
      <c r="I522" s="93"/>
      <c r="J522" s="44" t="s">
        <v>40</v>
      </c>
    </row>
    <row r="523" spans="1:10" ht="12.75">
      <c r="A523" s="7" t="s">
        <v>481</v>
      </c>
      <c r="B523" s="87">
        <v>2240</v>
      </c>
      <c r="C523" s="87">
        <v>2240</v>
      </c>
      <c r="D523" s="87">
        <f t="shared" si="39"/>
        <v>0</v>
      </c>
      <c r="E523" s="93">
        <f>C523/B523</f>
        <v>1</v>
      </c>
      <c r="F523" s="87"/>
      <c r="G523" s="87"/>
      <c r="H523" s="117"/>
      <c r="I523" s="93"/>
      <c r="J523" s="7"/>
    </row>
    <row r="524" spans="1:10" ht="25.5">
      <c r="A524" s="7" t="s">
        <v>507</v>
      </c>
      <c r="B524" s="87">
        <v>339</v>
      </c>
      <c r="C524" s="87">
        <v>339</v>
      </c>
      <c r="D524" s="87">
        <f t="shared" si="39"/>
        <v>0</v>
      </c>
      <c r="E524" s="93">
        <f>C524/B524</f>
        <v>1</v>
      </c>
      <c r="F524" s="87"/>
      <c r="G524" s="87"/>
      <c r="H524" s="117"/>
      <c r="I524" s="93"/>
      <c r="J524" s="7"/>
    </row>
    <row r="525" spans="1:10" ht="38.25">
      <c r="A525" s="55" t="s">
        <v>405</v>
      </c>
      <c r="B525" s="87">
        <v>1</v>
      </c>
      <c r="C525" s="87">
        <v>1</v>
      </c>
      <c r="D525" s="87">
        <f t="shared" si="39"/>
        <v>0</v>
      </c>
      <c r="E525" s="93">
        <f>C525/B525</f>
        <v>1</v>
      </c>
      <c r="F525" s="87">
        <v>7060171.54</v>
      </c>
      <c r="G525" s="87">
        <v>7060171.54</v>
      </c>
      <c r="H525" s="93">
        <f>G525/F525</f>
        <v>1</v>
      </c>
      <c r="I525" s="93"/>
      <c r="J525" s="47"/>
    </row>
    <row r="526" spans="1:10" ht="33.75">
      <c r="A526" s="55" t="s">
        <v>406</v>
      </c>
      <c r="B526" s="87">
        <v>1</v>
      </c>
      <c r="C526" s="87">
        <v>1</v>
      </c>
      <c r="D526" s="87">
        <f t="shared" si="39"/>
        <v>0</v>
      </c>
      <c r="E526" s="93">
        <f>C526/B526</f>
        <v>1</v>
      </c>
      <c r="F526" s="87">
        <v>303944.31</v>
      </c>
      <c r="G526" s="87">
        <v>280564</v>
      </c>
      <c r="H526" s="93">
        <f>G526/F526</f>
        <v>0.923076993940107</v>
      </c>
      <c r="I526" s="93"/>
      <c r="J526" s="44" t="s">
        <v>256</v>
      </c>
    </row>
    <row r="527" spans="1:10" ht="25.5">
      <c r="A527" s="7" t="s">
        <v>19</v>
      </c>
      <c r="B527" s="88"/>
      <c r="C527" s="87"/>
      <c r="D527" s="87"/>
      <c r="E527" s="93"/>
      <c r="F527" s="87">
        <v>22934562.17</v>
      </c>
      <c r="G527" s="87">
        <v>21986760.81</v>
      </c>
      <c r="H527" s="93">
        <f>G527/F527</f>
        <v>0.9586736667142575</v>
      </c>
      <c r="I527" s="93"/>
      <c r="J527" s="44" t="s">
        <v>45</v>
      </c>
    </row>
    <row r="528" spans="1:10" ht="38.25">
      <c r="A528" s="7" t="s">
        <v>20</v>
      </c>
      <c r="B528" s="88">
        <v>100</v>
      </c>
      <c r="C528" s="87">
        <v>100</v>
      </c>
      <c r="D528" s="87">
        <f t="shared" si="39"/>
        <v>0</v>
      </c>
      <c r="E528" s="93">
        <f>C528/B528</f>
        <v>1</v>
      </c>
      <c r="F528" s="87"/>
      <c r="G528" s="87"/>
      <c r="H528" s="117"/>
      <c r="I528" s="93"/>
      <c r="J528" s="60"/>
    </row>
    <row r="529" spans="1:10" ht="12.75">
      <c r="A529" s="366" t="s">
        <v>407</v>
      </c>
      <c r="B529" s="368">
        <f>SUM(B496:B528)</f>
        <v>205238.1</v>
      </c>
      <c r="C529" s="368">
        <f>SUM(C496:C528)</f>
        <v>205238.1</v>
      </c>
      <c r="D529" s="368">
        <f>C529-B529</f>
        <v>0</v>
      </c>
      <c r="E529" s="157">
        <f>C529/B529</f>
        <v>1</v>
      </c>
      <c r="F529" s="368">
        <f>SUM(F496:F527)</f>
        <v>129978457.14</v>
      </c>
      <c r="G529" s="368">
        <f>SUM(G496:G527)</f>
        <v>126561861.5</v>
      </c>
      <c r="H529" s="157">
        <f>(H496+H501+H503+H508+H522+H525+H526+H527)/8</f>
        <v>0.9620555309746748</v>
      </c>
      <c r="I529" s="157">
        <f>E529/H529</f>
        <v>1.0394410382806936</v>
      </c>
      <c r="J529" s="41"/>
    </row>
    <row r="530" spans="1:10" ht="25.5">
      <c r="A530" s="12" t="s">
        <v>200</v>
      </c>
      <c r="B530" s="154"/>
      <c r="C530" s="154"/>
      <c r="D530" s="154"/>
      <c r="E530" s="154"/>
      <c r="F530" s="155">
        <f>F531/F809</f>
        <v>0.09607635742081938</v>
      </c>
      <c r="G530" s="155">
        <f>G531/G809</f>
        <v>0.09530214305077375</v>
      </c>
      <c r="H530" s="154"/>
      <c r="I530" s="154"/>
      <c r="J530" s="41"/>
    </row>
    <row r="531" spans="1:10" ht="12.75">
      <c r="A531" s="331" t="s">
        <v>626</v>
      </c>
      <c r="B531" s="74">
        <f>B529+B494+B490</f>
        <v>1727447.253</v>
      </c>
      <c r="C531" s="74">
        <f>C529+C494+C490</f>
        <v>1727447.253</v>
      </c>
      <c r="D531" s="74">
        <f t="shared" si="39"/>
        <v>0</v>
      </c>
      <c r="E531" s="73">
        <f>C531/B531</f>
        <v>1</v>
      </c>
      <c r="F531" s="74">
        <f>F529+F494+F490</f>
        <v>235532488.29999998</v>
      </c>
      <c r="G531" s="74">
        <f>G529+G494+G490</f>
        <v>225097132.86</v>
      </c>
      <c r="H531" s="73">
        <f>(H490+H494+H529)/3</f>
        <v>0.9724513194446446</v>
      </c>
      <c r="I531" s="73">
        <f>E531/H531</f>
        <v>1.0283291101616152</v>
      </c>
      <c r="J531" s="73"/>
    </row>
    <row r="532" spans="1:10" ht="18.75" customHeight="1">
      <c r="A532" s="489" t="s">
        <v>18</v>
      </c>
      <c r="B532" s="489"/>
      <c r="C532" s="489"/>
      <c r="D532" s="489"/>
      <c r="E532" s="489"/>
      <c r="F532" s="489"/>
      <c r="G532" s="489"/>
      <c r="H532" s="489"/>
      <c r="I532" s="489"/>
      <c r="J532" s="489"/>
    </row>
    <row r="533" spans="1:10" ht="90">
      <c r="A533" s="7" t="s">
        <v>338</v>
      </c>
      <c r="B533" s="92"/>
      <c r="C533" s="92"/>
      <c r="D533" s="89"/>
      <c r="E533" s="90"/>
      <c r="F533" s="81">
        <v>10243730</v>
      </c>
      <c r="G533" s="81">
        <v>9812453.32</v>
      </c>
      <c r="H533" s="93">
        <f>G533/F533</f>
        <v>0.9578984725290495</v>
      </c>
      <c r="I533" s="90"/>
      <c r="J533" s="46" t="s">
        <v>85</v>
      </c>
    </row>
    <row r="534" spans="1:10" ht="63.75">
      <c r="A534" s="7" t="s">
        <v>339</v>
      </c>
      <c r="B534" s="88" t="s">
        <v>340</v>
      </c>
      <c r="C534" s="81">
        <v>0.13</v>
      </c>
      <c r="D534" s="89"/>
      <c r="E534" s="82">
        <v>1</v>
      </c>
      <c r="F534" s="89"/>
      <c r="G534" s="89"/>
      <c r="H534" s="90"/>
      <c r="I534" s="90"/>
      <c r="J534" s="44" t="s">
        <v>474</v>
      </c>
    </row>
    <row r="535" spans="1:10" ht="45">
      <c r="A535" s="1" t="s">
        <v>341</v>
      </c>
      <c r="B535" s="75" t="s">
        <v>258</v>
      </c>
      <c r="C535" s="91">
        <v>98.9</v>
      </c>
      <c r="D535" s="89"/>
      <c r="E535" s="82">
        <v>1</v>
      </c>
      <c r="F535" s="89"/>
      <c r="G535" s="89"/>
      <c r="H535" s="90"/>
      <c r="I535" s="90"/>
      <c r="J535" s="44" t="s">
        <v>474</v>
      </c>
    </row>
    <row r="536" spans="1:10" ht="51">
      <c r="A536" s="1" t="s">
        <v>25</v>
      </c>
      <c r="B536" s="88" t="s">
        <v>26</v>
      </c>
      <c r="C536" s="91" t="s">
        <v>26</v>
      </c>
      <c r="D536" s="89"/>
      <c r="E536" s="82">
        <v>1</v>
      </c>
      <c r="F536" s="89"/>
      <c r="G536" s="89"/>
      <c r="H536" s="90"/>
      <c r="I536" s="90"/>
      <c r="J536" s="44" t="s">
        <v>474</v>
      </c>
    </row>
    <row r="537" spans="1:10" ht="53.25" customHeight="1">
      <c r="A537" s="1" t="s">
        <v>409</v>
      </c>
      <c r="B537" s="75" t="s">
        <v>408</v>
      </c>
      <c r="C537" s="91">
        <v>93.5</v>
      </c>
      <c r="D537" s="89"/>
      <c r="E537" s="82">
        <v>1</v>
      </c>
      <c r="F537" s="89"/>
      <c r="G537" s="89"/>
      <c r="H537" s="90"/>
      <c r="I537" s="90"/>
      <c r="J537" s="44" t="s">
        <v>474</v>
      </c>
    </row>
    <row r="538" spans="1:10" ht="51">
      <c r="A538" s="1" t="s">
        <v>411</v>
      </c>
      <c r="B538" s="88" t="s">
        <v>410</v>
      </c>
      <c r="C538" s="91">
        <v>59</v>
      </c>
      <c r="D538" s="89"/>
      <c r="E538" s="82">
        <v>1</v>
      </c>
      <c r="F538" s="89"/>
      <c r="G538" s="89"/>
      <c r="H538" s="90"/>
      <c r="I538" s="90"/>
      <c r="J538" s="44" t="s">
        <v>474</v>
      </c>
    </row>
    <row r="539" spans="1:10" ht="63.75">
      <c r="A539" s="1" t="s">
        <v>361</v>
      </c>
      <c r="B539" s="88" t="s">
        <v>26</v>
      </c>
      <c r="C539" s="91" t="s">
        <v>26</v>
      </c>
      <c r="D539" s="89"/>
      <c r="E539" s="82">
        <v>1</v>
      </c>
      <c r="F539" s="89"/>
      <c r="G539" s="89"/>
      <c r="H539" s="90"/>
      <c r="I539" s="90"/>
      <c r="J539" s="44" t="s">
        <v>474</v>
      </c>
    </row>
    <row r="540" spans="1:10" ht="45">
      <c r="A540" s="1" t="s">
        <v>362</v>
      </c>
      <c r="B540" s="88" t="s">
        <v>363</v>
      </c>
      <c r="C540" s="91" t="s">
        <v>363</v>
      </c>
      <c r="D540" s="89"/>
      <c r="E540" s="82">
        <v>1</v>
      </c>
      <c r="F540" s="89"/>
      <c r="G540" s="89"/>
      <c r="H540" s="90"/>
      <c r="I540" s="90"/>
      <c r="J540" s="44" t="s">
        <v>474</v>
      </c>
    </row>
    <row r="541" spans="1:10" ht="45">
      <c r="A541" s="1" t="s">
        <v>464</v>
      </c>
      <c r="B541" s="88" t="s">
        <v>465</v>
      </c>
      <c r="C541" s="91">
        <v>98</v>
      </c>
      <c r="D541" s="89"/>
      <c r="E541" s="82">
        <v>1</v>
      </c>
      <c r="F541" s="89"/>
      <c r="G541" s="89"/>
      <c r="H541" s="90"/>
      <c r="I541" s="90"/>
      <c r="J541" s="44" t="s">
        <v>474</v>
      </c>
    </row>
    <row r="542" spans="1:10" ht="89.25">
      <c r="A542" s="1" t="s">
        <v>8</v>
      </c>
      <c r="B542" s="88" t="s">
        <v>26</v>
      </c>
      <c r="C542" s="91" t="s">
        <v>26</v>
      </c>
      <c r="D542" s="89"/>
      <c r="E542" s="82">
        <v>1</v>
      </c>
      <c r="F542" s="89"/>
      <c r="G542" s="89"/>
      <c r="H542" s="90"/>
      <c r="I542" s="90"/>
      <c r="J542" s="44" t="s">
        <v>474</v>
      </c>
    </row>
    <row r="543" spans="1:10" ht="63.75">
      <c r="A543" s="1" t="s">
        <v>467</v>
      </c>
      <c r="B543" s="88" t="s">
        <v>466</v>
      </c>
      <c r="C543" s="91" t="s">
        <v>84</v>
      </c>
      <c r="D543" s="89"/>
      <c r="E543" s="82">
        <v>1</v>
      </c>
      <c r="F543" s="89"/>
      <c r="G543" s="89"/>
      <c r="H543" s="90"/>
      <c r="I543" s="90"/>
      <c r="J543" s="44" t="s">
        <v>474</v>
      </c>
    </row>
    <row r="544" spans="1:10" ht="63.75">
      <c r="A544" s="1" t="s">
        <v>9</v>
      </c>
      <c r="B544" s="88" t="s">
        <v>26</v>
      </c>
      <c r="C544" s="91" t="s">
        <v>10</v>
      </c>
      <c r="D544" s="89"/>
      <c r="E544" s="82">
        <v>1</v>
      </c>
      <c r="F544" s="89"/>
      <c r="G544" s="89"/>
      <c r="H544" s="90"/>
      <c r="I544" s="90"/>
      <c r="J544" s="44" t="s">
        <v>474</v>
      </c>
    </row>
    <row r="545" spans="1:10" ht="78.75">
      <c r="A545" s="1" t="s">
        <v>468</v>
      </c>
      <c r="B545" s="88"/>
      <c r="C545" s="91"/>
      <c r="D545" s="89"/>
      <c r="E545" s="82"/>
      <c r="F545" s="81">
        <v>5710948.66</v>
      </c>
      <c r="G545" s="81">
        <v>3506483.84</v>
      </c>
      <c r="H545" s="82">
        <f>G545/F545</f>
        <v>0.6139932345320716</v>
      </c>
      <c r="I545" s="90"/>
      <c r="J545" s="44" t="s">
        <v>469</v>
      </c>
    </row>
    <row r="546" spans="1:10" ht="51">
      <c r="A546" s="1" t="s">
        <v>470</v>
      </c>
      <c r="B546" s="88" t="s">
        <v>471</v>
      </c>
      <c r="C546" s="81">
        <v>0.1</v>
      </c>
      <c r="D546" s="89"/>
      <c r="E546" s="82">
        <v>1</v>
      </c>
      <c r="F546" s="89"/>
      <c r="G546" s="89"/>
      <c r="H546" s="90"/>
      <c r="I546" s="90"/>
      <c r="J546" s="44" t="s">
        <v>474</v>
      </c>
    </row>
    <row r="547" spans="1:10" ht="45">
      <c r="A547" s="1" t="s">
        <v>11</v>
      </c>
      <c r="B547" s="88" t="s">
        <v>363</v>
      </c>
      <c r="C547" s="81" t="s">
        <v>363</v>
      </c>
      <c r="D547" s="89"/>
      <c r="E547" s="82">
        <v>1</v>
      </c>
      <c r="F547" s="89"/>
      <c r="G547" s="89"/>
      <c r="H547" s="90"/>
      <c r="I547" s="90"/>
      <c r="J547" s="44" t="s">
        <v>474</v>
      </c>
    </row>
    <row r="548" spans="1:10" ht="76.5">
      <c r="A548" s="1" t="s">
        <v>472</v>
      </c>
      <c r="B548" s="88" t="s">
        <v>473</v>
      </c>
      <c r="C548" s="91">
        <v>26</v>
      </c>
      <c r="D548" s="89"/>
      <c r="E548" s="82">
        <v>1</v>
      </c>
      <c r="F548" s="89"/>
      <c r="G548" s="89"/>
      <c r="H548" s="90"/>
      <c r="I548" s="90"/>
      <c r="J548" s="44" t="s">
        <v>474</v>
      </c>
    </row>
    <row r="549" spans="1:10" ht="12.75">
      <c r="A549" s="331" t="s">
        <v>628</v>
      </c>
      <c r="B549" s="332"/>
      <c r="C549" s="332"/>
      <c r="D549" s="74"/>
      <c r="E549" s="73">
        <v>1</v>
      </c>
      <c r="F549" s="74">
        <f>F533+F545</f>
        <v>15954678.66</v>
      </c>
      <c r="G549" s="74">
        <f>G533+G545</f>
        <v>13318937.16</v>
      </c>
      <c r="H549" s="73">
        <f>(H533+H545)/2</f>
        <v>0.7859458535305606</v>
      </c>
      <c r="I549" s="73">
        <f>E549/H549</f>
        <v>1.2723522816589505</v>
      </c>
      <c r="J549" s="73"/>
    </row>
    <row r="550" spans="1:10" ht="25.5">
      <c r="A550" s="12" t="s">
        <v>200</v>
      </c>
      <c r="B550" s="154"/>
      <c r="C550" s="154"/>
      <c r="D550" s="154"/>
      <c r="E550" s="154"/>
      <c r="F550" s="82">
        <f>F549/F809</f>
        <v>0.006508093301846545</v>
      </c>
      <c r="G550" s="82">
        <f>G549/G809</f>
        <v>0.005639002320371831</v>
      </c>
      <c r="H550" s="154"/>
      <c r="I550" s="154"/>
      <c r="J550" s="39"/>
    </row>
    <row r="551" spans="1:10" ht="18.75" customHeight="1">
      <c r="A551" s="489" t="s">
        <v>29</v>
      </c>
      <c r="B551" s="489"/>
      <c r="C551" s="489"/>
      <c r="D551" s="489"/>
      <c r="E551" s="489"/>
      <c r="F551" s="489"/>
      <c r="G551" s="489"/>
      <c r="H551" s="489"/>
      <c r="I551" s="489"/>
      <c r="J551" s="489"/>
    </row>
    <row r="552" spans="1:10" ht="12.75" customHeight="1">
      <c r="A552" s="359" t="s">
        <v>586</v>
      </c>
      <c r="B552" s="345"/>
      <c r="C552" s="345"/>
      <c r="D552" s="346"/>
      <c r="E552" s="347"/>
      <c r="F552" s="346"/>
      <c r="G552" s="346"/>
      <c r="H552" s="346"/>
      <c r="I552" s="346"/>
      <c r="J552" s="346"/>
    </row>
    <row r="553" spans="1:10" ht="38.25">
      <c r="A553" s="1" t="s">
        <v>475</v>
      </c>
      <c r="B553" s="81">
        <v>1</v>
      </c>
      <c r="C553" s="81">
        <v>1</v>
      </c>
      <c r="D553" s="82">
        <v>0</v>
      </c>
      <c r="E553" s="82">
        <v>1</v>
      </c>
      <c r="F553" s="81">
        <v>97800</v>
      </c>
      <c r="G553" s="81">
        <v>97800</v>
      </c>
      <c r="H553" s="82">
        <f>G553/F553</f>
        <v>1</v>
      </c>
      <c r="I553" s="82">
        <v>1</v>
      </c>
      <c r="J553" s="333"/>
    </row>
    <row r="554" spans="1:10" ht="51" customHeight="1">
      <c r="A554" s="1" t="s">
        <v>587</v>
      </c>
      <c r="B554" s="81">
        <v>1</v>
      </c>
      <c r="C554" s="81">
        <v>1</v>
      </c>
      <c r="D554" s="82">
        <v>0</v>
      </c>
      <c r="E554" s="82">
        <v>1</v>
      </c>
      <c r="F554" s="81">
        <v>86000</v>
      </c>
      <c r="G554" s="81">
        <v>86000</v>
      </c>
      <c r="H554" s="82">
        <f>G554/F554</f>
        <v>1</v>
      </c>
      <c r="I554" s="82">
        <v>1</v>
      </c>
      <c r="J554" s="333"/>
    </row>
    <row r="555" spans="1:10" ht="26.25" customHeight="1">
      <c r="A555" s="1" t="s">
        <v>588</v>
      </c>
      <c r="B555" s="81">
        <v>51.836</v>
      </c>
      <c r="C555" s="81">
        <v>49.343</v>
      </c>
      <c r="D555" s="82">
        <f>C555-B555</f>
        <v>-2.492999999999995</v>
      </c>
      <c r="E555" s="82">
        <f>B555/C555</f>
        <v>1.050523883833573</v>
      </c>
      <c r="F555" s="81"/>
      <c r="G555" s="81"/>
      <c r="H555" s="82"/>
      <c r="I555" s="90"/>
      <c r="J555" s="494" t="s">
        <v>259</v>
      </c>
    </row>
    <row r="556" spans="1:10" ht="28.5" customHeight="1">
      <c r="A556" s="1" t="s">
        <v>589</v>
      </c>
      <c r="B556" s="81">
        <v>7119.415</v>
      </c>
      <c r="C556" s="81">
        <v>6162.289</v>
      </c>
      <c r="D556" s="82">
        <f aca="true" t="shared" si="41" ref="D556:D566">C556-B556</f>
        <v>-957.1260000000002</v>
      </c>
      <c r="E556" s="82">
        <f aca="true" t="shared" si="42" ref="E556:E563">B556/C556</f>
        <v>1.155319881946465</v>
      </c>
      <c r="F556" s="81"/>
      <c r="G556" s="81"/>
      <c r="H556" s="82"/>
      <c r="I556" s="90"/>
      <c r="J556" s="494"/>
    </row>
    <row r="557" spans="1:10" ht="30.75" customHeight="1">
      <c r="A557" s="1" t="s">
        <v>590</v>
      </c>
      <c r="B557" s="81">
        <v>144.459</v>
      </c>
      <c r="C557" s="81">
        <v>109.6634</v>
      </c>
      <c r="D557" s="82">
        <f t="shared" si="41"/>
        <v>-34.79560000000001</v>
      </c>
      <c r="E557" s="82">
        <f t="shared" si="42"/>
        <v>1.3172945577102297</v>
      </c>
      <c r="F557" s="81"/>
      <c r="G557" s="81"/>
      <c r="H557" s="82"/>
      <c r="I557" s="90"/>
      <c r="J557" s="494"/>
    </row>
    <row r="558" spans="1:10" ht="25.5" customHeight="1">
      <c r="A558" s="1" t="s">
        <v>591</v>
      </c>
      <c r="B558" s="81">
        <v>73.402</v>
      </c>
      <c r="C558" s="81">
        <v>68.834</v>
      </c>
      <c r="D558" s="82">
        <f>C558-B558</f>
        <v>-4.567999999999998</v>
      </c>
      <c r="E558" s="82">
        <f t="shared" si="42"/>
        <v>1.0663625533893133</v>
      </c>
      <c r="F558" s="81"/>
      <c r="G558" s="81"/>
      <c r="H558" s="82"/>
      <c r="I558" s="90"/>
      <c r="J558" s="494"/>
    </row>
    <row r="559" spans="1:10" ht="30.75" customHeight="1">
      <c r="A559" s="1" t="s">
        <v>592</v>
      </c>
      <c r="B559" s="81">
        <v>0.238</v>
      </c>
      <c r="C559" s="81">
        <v>0.222</v>
      </c>
      <c r="D559" s="82">
        <f t="shared" si="41"/>
        <v>-0.015999999999999986</v>
      </c>
      <c r="E559" s="82">
        <f t="shared" si="42"/>
        <v>1.072072072072072</v>
      </c>
      <c r="F559" s="81"/>
      <c r="G559" s="81"/>
      <c r="H559" s="82"/>
      <c r="I559" s="90"/>
      <c r="J559" s="494"/>
    </row>
    <row r="560" spans="1:10" ht="24.75" customHeight="1">
      <c r="A560" s="1" t="s">
        <v>593</v>
      </c>
      <c r="B560" s="81">
        <v>174.08</v>
      </c>
      <c r="C560" s="81">
        <v>154.38</v>
      </c>
      <c r="D560" s="82">
        <f t="shared" si="41"/>
        <v>-19.700000000000017</v>
      </c>
      <c r="E560" s="82">
        <f t="shared" si="42"/>
        <v>1.1276072030055708</v>
      </c>
      <c r="F560" s="81"/>
      <c r="G560" s="81"/>
      <c r="H560" s="82"/>
      <c r="I560" s="90"/>
      <c r="J560" s="494"/>
    </row>
    <row r="561" spans="1:10" ht="24.75" customHeight="1">
      <c r="A561" s="1" t="s">
        <v>594</v>
      </c>
      <c r="B561" s="81">
        <v>41.16</v>
      </c>
      <c r="C561" s="81">
        <v>34.8</v>
      </c>
      <c r="D561" s="82">
        <f t="shared" si="41"/>
        <v>-6.359999999999999</v>
      </c>
      <c r="E561" s="82">
        <f t="shared" si="42"/>
        <v>1.1827586206896552</v>
      </c>
      <c r="F561" s="81"/>
      <c r="G561" s="81"/>
      <c r="H561" s="82"/>
      <c r="I561" s="90"/>
      <c r="J561" s="494"/>
    </row>
    <row r="562" spans="1:10" ht="27" customHeight="1">
      <c r="A562" s="1" t="s">
        <v>595</v>
      </c>
      <c r="B562" s="81">
        <v>2.8</v>
      </c>
      <c r="C562" s="81">
        <v>2.11</v>
      </c>
      <c r="D562" s="82">
        <f t="shared" si="41"/>
        <v>-0.69</v>
      </c>
      <c r="E562" s="82">
        <f t="shared" si="42"/>
        <v>1.3270142180094786</v>
      </c>
      <c r="F562" s="81"/>
      <c r="G562" s="81"/>
      <c r="H562" s="82"/>
      <c r="I562" s="90"/>
      <c r="J562" s="494"/>
    </row>
    <row r="563" spans="1:10" ht="26.25" customHeight="1">
      <c r="A563" s="1" t="s">
        <v>596</v>
      </c>
      <c r="B563" s="81">
        <v>1.42</v>
      </c>
      <c r="C563" s="81">
        <v>1.32</v>
      </c>
      <c r="D563" s="82">
        <f t="shared" si="41"/>
        <v>-0.09999999999999987</v>
      </c>
      <c r="E563" s="82">
        <f t="shared" si="42"/>
        <v>1.0757575757575757</v>
      </c>
      <c r="F563" s="81"/>
      <c r="G563" s="81"/>
      <c r="H563" s="82"/>
      <c r="I563" s="90"/>
      <c r="J563" s="494"/>
    </row>
    <row r="564" spans="1:10" ht="41.25" customHeight="1">
      <c r="A564" s="1" t="s">
        <v>597</v>
      </c>
      <c r="B564" s="81">
        <v>100</v>
      </c>
      <c r="C564" s="81">
        <v>100</v>
      </c>
      <c r="D564" s="82">
        <f t="shared" si="41"/>
        <v>0</v>
      </c>
      <c r="E564" s="82">
        <f>C564/B564</f>
        <v>1</v>
      </c>
      <c r="F564" s="81"/>
      <c r="G564" s="81"/>
      <c r="H564" s="82"/>
      <c r="I564" s="90"/>
      <c r="J564" s="334"/>
    </row>
    <row r="565" spans="1:10" ht="30.75" customHeight="1">
      <c r="A565" s="1" t="s">
        <v>598</v>
      </c>
      <c r="B565" s="81">
        <v>100</v>
      </c>
      <c r="C565" s="81">
        <v>100</v>
      </c>
      <c r="D565" s="82">
        <f t="shared" si="41"/>
        <v>0</v>
      </c>
      <c r="E565" s="82">
        <f>C565/B565</f>
        <v>1</v>
      </c>
      <c r="F565" s="81"/>
      <c r="G565" s="81"/>
      <c r="H565" s="82"/>
      <c r="I565" s="90"/>
      <c r="J565" s="334"/>
    </row>
    <row r="566" spans="1:10" ht="27" customHeight="1">
      <c r="A566" s="1" t="s">
        <v>599</v>
      </c>
      <c r="B566" s="81">
        <v>100</v>
      </c>
      <c r="C566" s="81">
        <v>100</v>
      </c>
      <c r="D566" s="82">
        <f t="shared" si="41"/>
        <v>0</v>
      </c>
      <c r="E566" s="82">
        <f>C566/B566</f>
        <v>1</v>
      </c>
      <c r="F566" s="81"/>
      <c r="G566" s="81"/>
      <c r="H566" s="82"/>
      <c r="I566" s="90"/>
      <c r="J566" s="334"/>
    </row>
    <row r="567" spans="1:10" ht="16.5" customHeight="1">
      <c r="A567" s="2" t="s">
        <v>126</v>
      </c>
      <c r="B567" s="81"/>
      <c r="C567" s="81"/>
      <c r="D567" s="82"/>
      <c r="E567" s="82"/>
      <c r="F567" s="81"/>
      <c r="G567" s="81"/>
      <c r="H567" s="82"/>
      <c r="I567" s="90"/>
      <c r="J567" s="334"/>
    </row>
    <row r="568" spans="1:10" ht="269.25" customHeight="1">
      <c r="A568" s="1" t="s">
        <v>600</v>
      </c>
      <c r="B568" s="81">
        <v>24.66</v>
      </c>
      <c r="C568" s="81">
        <v>26.09</v>
      </c>
      <c r="D568" s="82">
        <f>C568-B568</f>
        <v>1.4299999999999997</v>
      </c>
      <c r="E568" s="82">
        <f>C568/B568</f>
        <v>1.0579886455798864</v>
      </c>
      <c r="F568" s="81"/>
      <c r="G568" s="81"/>
      <c r="H568" s="82"/>
      <c r="I568" s="90"/>
      <c r="J568" s="348" t="s">
        <v>122</v>
      </c>
    </row>
    <row r="569" spans="1:10" ht="26.25" customHeight="1">
      <c r="A569" s="1" t="s">
        <v>123</v>
      </c>
      <c r="B569" s="81">
        <v>1862.5</v>
      </c>
      <c r="C569" s="81">
        <v>1867.86</v>
      </c>
      <c r="D569" s="82">
        <f>C569-B569</f>
        <v>5.3599999999999</v>
      </c>
      <c r="E569" s="82">
        <f>C569/B569</f>
        <v>1.0028778523489932</v>
      </c>
      <c r="F569" s="81"/>
      <c r="G569" s="81"/>
      <c r="H569" s="82"/>
      <c r="I569" s="90"/>
      <c r="J569" s="348"/>
    </row>
    <row r="570" spans="1:10" ht="36.75" customHeight="1">
      <c r="A570" s="1" t="s">
        <v>124</v>
      </c>
      <c r="B570" s="81">
        <v>1</v>
      </c>
      <c r="C570" s="81">
        <v>1</v>
      </c>
      <c r="D570" s="82">
        <f>C570-B570</f>
        <v>0</v>
      </c>
      <c r="E570" s="82">
        <f>C570/B570</f>
        <v>1</v>
      </c>
      <c r="F570" s="81"/>
      <c r="G570" s="81"/>
      <c r="H570" s="82"/>
      <c r="I570" s="90"/>
      <c r="J570" s="334"/>
    </row>
    <row r="571" spans="1:10" ht="51">
      <c r="A571" s="1" t="s">
        <v>125</v>
      </c>
      <c r="B571" s="81">
        <v>1</v>
      </c>
      <c r="C571" s="81">
        <v>1</v>
      </c>
      <c r="D571" s="82">
        <f>C571-B571</f>
        <v>0</v>
      </c>
      <c r="E571" s="82">
        <f>C571/B571</f>
        <v>1</v>
      </c>
      <c r="F571" s="81"/>
      <c r="G571" s="81"/>
      <c r="H571" s="82"/>
      <c r="I571" s="90"/>
      <c r="J571" s="334"/>
    </row>
    <row r="572" spans="1:10" ht="12.75" customHeight="1">
      <c r="A572" s="310" t="s">
        <v>627</v>
      </c>
      <c r="B572" s="73">
        <f>SUM(B553:B566)+SUM(B568:B569)+SUM(B570:B571)</f>
        <v>9799.970000000001</v>
      </c>
      <c r="C572" s="73">
        <f>SUM(C553:C566)+SUM(C568:C569)+SUM(C570:C571)</f>
        <v>8780.911399999999</v>
      </c>
      <c r="D572" s="73">
        <f>C572-B572</f>
        <v>-1019.0586000000021</v>
      </c>
      <c r="E572" s="73">
        <f>(E553+E554+E555+E556+E557+E558+E559+E560+E561+E562+E563+E564+E565+E566+E568+E569+E570+E571)/18</f>
        <v>1.0797542813523786</v>
      </c>
      <c r="F572" s="74">
        <f>SUM(F553:F554)</f>
        <v>183800</v>
      </c>
      <c r="G572" s="74">
        <f>SUM(G553:G566)</f>
        <v>183800</v>
      </c>
      <c r="H572" s="73">
        <f>G572/F572</f>
        <v>1</v>
      </c>
      <c r="I572" s="73">
        <f>E572/H572</f>
        <v>1.0797542813523786</v>
      </c>
      <c r="J572" s="73"/>
    </row>
    <row r="573" spans="1:10" ht="28.5" customHeight="1">
      <c r="A573" s="196" t="s">
        <v>101</v>
      </c>
      <c r="B573" s="90"/>
      <c r="C573" s="90"/>
      <c r="D573" s="90"/>
      <c r="E573" s="90"/>
      <c r="F573" s="387">
        <f>F572/F809</f>
        <v>7.497409220019947E-05</v>
      </c>
      <c r="G573" s="387">
        <f>G572/G809</f>
        <v>7.781766773380757E-05</v>
      </c>
      <c r="H573" s="90"/>
      <c r="I573" s="90"/>
      <c r="J573" s="349"/>
    </row>
    <row r="574" spans="1:10" ht="19.5" customHeight="1">
      <c r="A574" s="409" t="s">
        <v>102</v>
      </c>
      <c r="B574" s="410"/>
      <c r="C574" s="410"/>
      <c r="D574" s="411"/>
      <c r="E574" s="412"/>
      <c r="F574" s="411">
        <f>F19+F76+F89+F152+F173+F181+F293+F321+F329+F343+F353+F414+F445+F531+F549+F572</f>
        <v>1076311306.8499997</v>
      </c>
      <c r="G574" s="411">
        <f>G19+G76+G89+G152+G173+G181+G293+G321+G329+G343+G353+G414+G445+G531+G549+G572</f>
        <v>1038663049.6699998</v>
      </c>
      <c r="H574" s="413">
        <f>G574/F574</f>
        <v>0.9650210334682968</v>
      </c>
      <c r="I574" s="413">
        <f>(I19+I76+I89+I152+I173+I181+I293+I321+I329+I343+I353+I414+I445+I531+I549+I572)/16</f>
        <v>1.156779474819015</v>
      </c>
      <c r="J574" s="414"/>
    </row>
    <row r="575" spans="1:10" ht="25.5">
      <c r="A575" s="196" t="s">
        <v>101</v>
      </c>
      <c r="B575" s="415"/>
      <c r="C575" s="415"/>
      <c r="D575" s="416"/>
      <c r="E575" s="417"/>
      <c r="F575" s="418">
        <f>F574/F809</f>
        <v>0.43903951662616464</v>
      </c>
      <c r="G575" s="418">
        <f>G574/G809</f>
        <v>0.4397515565103553</v>
      </c>
      <c r="H575" s="418"/>
      <c r="I575" s="418"/>
      <c r="J575" s="479"/>
    </row>
    <row r="576" spans="1:10" ht="16.5" customHeight="1">
      <c r="A576" s="501" t="s">
        <v>106</v>
      </c>
      <c r="B576" s="501"/>
      <c r="C576" s="501"/>
      <c r="D576" s="501"/>
      <c r="E576" s="501"/>
      <c r="F576" s="501"/>
      <c r="G576" s="501"/>
      <c r="H576" s="501"/>
      <c r="I576" s="501"/>
      <c r="J576" s="501"/>
    </row>
    <row r="577" spans="1:10" ht="20.25" customHeight="1">
      <c r="A577" s="520" t="s">
        <v>108</v>
      </c>
      <c r="B577" s="520"/>
      <c r="C577" s="520"/>
      <c r="D577" s="520"/>
      <c r="E577" s="520"/>
      <c r="F577" s="520"/>
      <c r="G577" s="520"/>
      <c r="H577" s="520"/>
      <c r="I577" s="520"/>
      <c r="J577" s="520"/>
    </row>
    <row r="578" spans="1:10" ht="12.75">
      <c r="A578" s="481" t="s">
        <v>247</v>
      </c>
      <c r="B578" s="481"/>
      <c r="C578" s="481"/>
      <c r="D578" s="481"/>
      <c r="E578" s="481"/>
      <c r="F578" s="481"/>
      <c r="G578" s="481"/>
      <c r="H578" s="481"/>
      <c r="I578" s="481"/>
      <c r="J578" s="481"/>
    </row>
    <row r="579" spans="1:10" ht="51">
      <c r="A579" s="196" t="s">
        <v>644</v>
      </c>
      <c r="B579" s="76">
        <v>24</v>
      </c>
      <c r="C579" s="76">
        <v>24</v>
      </c>
      <c r="D579" s="197">
        <f>C579-B579</f>
        <v>0</v>
      </c>
      <c r="E579" s="198">
        <f>C579/B579</f>
        <v>1</v>
      </c>
      <c r="F579" s="98">
        <v>5175217.49</v>
      </c>
      <c r="G579" s="98">
        <v>5175217.49</v>
      </c>
      <c r="H579" s="77">
        <f>G579/F579</f>
        <v>1</v>
      </c>
      <c r="I579" s="77"/>
      <c r="J579" s="48"/>
    </row>
    <row r="580" spans="1:10" ht="51">
      <c r="A580" s="196" t="s">
        <v>645</v>
      </c>
      <c r="B580" s="76"/>
      <c r="C580" s="76"/>
      <c r="D580" s="76"/>
      <c r="E580" s="77"/>
      <c r="F580" s="98">
        <v>5646182.51</v>
      </c>
      <c r="G580" s="98">
        <v>5646182.51</v>
      </c>
      <c r="H580" s="77">
        <f>G580/F580</f>
        <v>1</v>
      </c>
      <c r="I580" s="77"/>
      <c r="J580" s="48"/>
    </row>
    <row r="581" spans="1:10" ht="12.75">
      <c r="A581" s="199" t="s">
        <v>245</v>
      </c>
      <c r="B581" s="78">
        <f>B579+B580</f>
        <v>24</v>
      </c>
      <c r="C581" s="78">
        <f>C579+C580</f>
        <v>24</v>
      </c>
      <c r="D581" s="223">
        <f>C581-B581</f>
        <v>0</v>
      </c>
      <c r="E581" s="224">
        <f>C581/B581</f>
        <v>1</v>
      </c>
      <c r="F581" s="80">
        <f>F579+F580</f>
        <v>10821400</v>
      </c>
      <c r="G581" s="80">
        <f>G579+G580</f>
        <v>10821400</v>
      </c>
      <c r="H581" s="79">
        <f>G581/F581</f>
        <v>1</v>
      </c>
      <c r="I581" s="79">
        <f>E581/H581</f>
        <v>1</v>
      </c>
      <c r="J581" s="309"/>
    </row>
    <row r="582" spans="1:10" ht="25.5">
      <c r="A582" s="196" t="s">
        <v>101</v>
      </c>
      <c r="B582" s="76"/>
      <c r="C582" s="76"/>
      <c r="D582" s="76"/>
      <c r="E582" s="77"/>
      <c r="F582" s="77"/>
      <c r="G582" s="77"/>
      <c r="H582" s="77"/>
      <c r="I582" s="77"/>
      <c r="J582" s="6"/>
    </row>
    <row r="583" spans="1:10" ht="12.75">
      <c r="A583" s="481" t="s">
        <v>239</v>
      </c>
      <c r="B583" s="481"/>
      <c r="C583" s="481"/>
      <c r="D583" s="481"/>
      <c r="E583" s="481"/>
      <c r="F583" s="481"/>
      <c r="G583" s="481"/>
      <c r="H583" s="481"/>
      <c r="I583" s="481"/>
      <c r="J583" s="481"/>
    </row>
    <row r="584" spans="1:10" ht="38.25">
      <c r="A584" s="196" t="s">
        <v>240</v>
      </c>
      <c r="B584" s="75"/>
      <c r="C584" s="75"/>
      <c r="D584" s="75"/>
      <c r="E584" s="82"/>
      <c r="F584" s="109">
        <v>28441200</v>
      </c>
      <c r="G584" s="109">
        <v>28441200</v>
      </c>
      <c r="H584" s="77">
        <f>G584/F584</f>
        <v>1</v>
      </c>
      <c r="I584" s="77">
        <f>E584/H584</f>
        <v>0</v>
      </c>
      <c r="J584" s="279"/>
    </row>
    <row r="585" spans="1:10" ht="38.25">
      <c r="A585" s="1" t="s">
        <v>669</v>
      </c>
      <c r="B585" s="75">
        <v>1</v>
      </c>
      <c r="C585" s="75">
        <v>1</v>
      </c>
      <c r="D585" s="75">
        <f>C585-B585</f>
        <v>0</v>
      </c>
      <c r="E585" s="82">
        <f>C585/B585</f>
        <v>1</v>
      </c>
      <c r="F585" s="109"/>
      <c r="G585" s="109"/>
      <c r="H585" s="77"/>
      <c r="I585" s="77"/>
      <c r="J585" s="279"/>
    </row>
    <row r="586" spans="1:10" ht="33.75">
      <c r="A586" s="1" t="s">
        <v>670</v>
      </c>
      <c r="B586" s="419">
        <v>8195</v>
      </c>
      <c r="C586" s="419">
        <v>8195</v>
      </c>
      <c r="D586" s="75">
        <f>C586-B586</f>
        <v>0</v>
      </c>
      <c r="E586" s="82">
        <f>C586/B586</f>
        <v>1</v>
      </c>
      <c r="F586" s="109"/>
      <c r="G586" s="109"/>
      <c r="H586" s="77"/>
      <c r="I586" s="77"/>
      <c r="J586" s="285" t="s">
        <v>260</v>
      </c>
    </row>
    <row r="587" spans="1:10" ht="15.75">
      <c r="A587" s="199" t="s">
        <v>246</v>
      </c>
      <c r="B587" s="78">
        <f>B585+B586</f>
        <v>8196</v>
      </c>
      <c r="C587" s="78">
        <f>C585+C586</f>
        <v>8196</v>
      </c>
      <c r="D587" s="78">
        <f>D585+D586</f>
        <v>0</v>
      </c>
      <c r="E587" s="79">
        <f>(E585+E586)/2</f>
        <v>1</v>
      </c>
      <c r="F587" s="80">
        <f>F584</f>
        <v>28441200</v>
      </c>
      <c r="G587" s="80">
        <f>G584</f>
        <v>28441200</v>
      </c>
      <c r="H587" s="79">
        <f>H584</f>
        <v>1</v>
      </c>
      <c r="I587" s="79">
        <f>I584</f>
        <v>0</v>
      </c>
      <c r="J587" s="281"/>
    </row>
    <row r="588" spans="1:10" ht="25.5">
      <c r="A588" s="196" t="s">
        <v>101</v>
      </c>
      <c r="B588" s="76"/>
      <c r="C588" s="76"/>
      <c r="D588" s="76"/>
      <c r="E588" s="77"/>
      <c r="F588" s="77"/>
      <c r="G588" s="77"/>
      <c r="H588" s="77"/>
      <c r="I588" s="77"/>
      <c r="J588" s="6"/>
    </row>
    <row r="589" spans="1:10" ht="12.75">
      <c r="A589" s="287" t="s">
        <v>112</v>
      </c>
      <c r="B589" s="288">
        <f>B581+B587</f>
        <v>8220</v>
      </c>
      <c r="C589" s="288">
        <f>C581+C587</f>
        <v>8220</v>
      </c>
      <c r="D589" s="289">
        <f>C589-B589</f>
        <v>0</v>
      </c>
      <c r="E589" s="290">
        <f>C589/B589</f>
        <v>1</v>
      </c>
      <c r="F589" s="291">
        <f>F581+F587</f>
        <v>39262600</v>
      </c>
      <c r="G589" s="291">
        <f>G581+G587</f>
        <v>39262600</v>
      </c>
      <c r="H589" s="292">
        <f>G589/F589</f>
        <v>1</v>
      </c>
      <c r="I589" s="292">
        <f>E589/H589</f>
        <v>1</v>
      </c>
      <c r="J589" s="292"/>
    </row>
    <row r="590" spans="1:10" ht="25.5">
      <c r="A590" s="196" t="s">
        <v>101</v>
      </c>
      <c r="B590" s="78"/>
      <c r="C590" s="78"/>
      <c r="D590" s="89"/>
      <c r="E590" s="90"/>
      <c r="F590" s="81">
        <f>F589/F809</f>
        <v>0.016015657194883307</v>
      </c>
      <c r="G590" s="81">
        <f>G589/G809</f>
        <v>0.016623090104273083</v>
      </c>
      <c r="H590" s="79"/>
      <c r="I590" s="79"/>
      <c r="J590" s="15"/>
    </row>
    <row r="591" spans="1:10" ht="17.25" customHeight="1">
      <c r="A591" s="516" t="s">
        <v>488</v>
      </c>
      <c r="B591" s="516"/>
      <c r="C591" s="516"/>
      <c r="D591" s="516"/>
      <c r="E591" s="516"/>
      <c r="F591" s="516"/>
      <c r="G591" s="516"/>
      <c r="H591" s="516"/>
      <c r="I591" s="516"/>
      <c r="J591" s="516"/>
    </row>
    <row r="592" spans="1:10" ht="12.75" customHeight="1">
      <c r="A592" s="491" t="s">
        <v>489</v>
      </c>
      <c r="B592" s="491"/>
      <c r="C592" s="491"/>
      <c r="D592" s="491"/>
      <c r="E592" s="491"/>
      <c r="F592" s="491"/>
      <c r="G592" s="491"/>
      <c r="H592" s="491"/>
      <c r="I592" s="491"/>
      <c r="J592" s="491"/>
    </row>
    <row r="593" spans="1:10" ht="25.5">
      <c r="A593" s="18" t="s">
        <v>650</v>
      </c>
      <c r="B593" s="110"/>
      <c r="C593" s="110"/>
      <c r="D593" s="110"/>
      <c r="E593" s="110"/>
      <c r="F593" s="159">
        <v>13340092</v>
      </c>
      <c r="G593" s="159">
        <v>13340092</v>
      </c>
      <c r="H593" s="114">
        <f>G593/F593</f>
        <v>1</v>
      </c>
      <c r="I593" s="215"/>
      <c r="J593" s="2"/>
    </row>
    <row r="594" spans="1:10" ht="88.5" customHeight="1">
      <c r="A594" s="35" t="s">
        <v>203</v>
      </c>
      <c r="B594" s="216">
        <v>12.3</v>
      </c>
      <c r="C594" s="216">
        <v>14.3</v>
      </c>
      <c r="D594" s="197">
        <f>C594-B594</f>
        <v>2</v>
      </c>
      <c r="E594" s="198">
        <f>C594/B594</f>
        <v>1.1626016260162602</v>
      </c>
      <c r="F594" s="217"/>
      <c r="G594" s="217"/>
      <c r="H594" s="218"/>
      <c r="I594" s="219"/>
      <c r="J594" s="2"/>
    </row>
    <row r="595" spans="1:10" ht="12.75" customHeight="1">
      <c r="A595" s="2" t="s">
        <v>308</v>
      </c>
      <c r="B595" s="78">
        <f>SUM(B594:B594)</f>
        <v>12.3</v>
      </c>
      <c r="C595" s="78">
        <f>SUM(C594:C594)</f>
        <v>14.3</v>
      </c>
      <c r="D595" s="223">
        <f>C595-B595</f>
        <v>2</v>
      </c>
      <c r="E595" s="224">
        <f>C595/B595</f>
        <v>1.1626016260162602</v>
      </c>
      <c r="F595" s="80">
        <f>SUM(F593:F594)</f>
        <v>13340092</v>
      </c>
      <c r="G595" s="80">
        <f>SUM(G593:G594)</f>
        <v>13340092</v>
      </c>
      <c r="H595" s="225">
        <f>G595/F595</f>
        <v>1</v>
      </c>
      <c r="I595" s="79">
        <f>E595/H595</f>
        <v>1.1626016260162602</v>
      </c>
      <c r="J595" s="2"/>
    </row>
    <row r="596" spans="1:10" ht="12.75" customHeight="1">
      <c r="A596" s="519" t="s">
        <v>490</v>
      </c>
      <c r="B596" s="519"/>
      <c r="C596" s="519"/>
      <c r="D596" s="519"/>
      <c r="E596" s="519"/>
      <c r="F596" s="519"/>
      <c r="G596" s="519"/>
      <c r="H596" s="519"/>
      <c r="I596" s="519"/>
      <c r="J596" s="519"/>
    </row>
    <row r="597" spans="1:10" ht="52.5" customHeight="1">
      <c r="A597" s="18" t="s">
        <v>491</v>
      </c>
      <c r="B597" s="18"/>
      <c r="C597" s="18"/>
      <c r="D597" s="18"/>
      <c r="E597" s="18"/>
      <c r="F597" s="98">
        <v>256400</v>
      </c>
      <c r="G597" s="98">
        <v>256400</v>
      </c>
      <c r="H597" s="114">
        <f>G597/F597</f>
        <v>1</v>
      </c>
      <c r="I597" s="98"/>
      <c r="J597" s="18"/>
    </row>
    <row r="598" spans="1:10" ht="12.75">
      <c r="A598" s="18" t="s">
        <v>492</v>
      </c>
      <c r="B598" s="18"/>
      <c r="C598" s="18"/>
      <c r="D598" s="18"/>
      <c r="E598" s="18"/>
      <c r="F598" s="98">
        <v>256400</v>
      </c>
      <c r="G598" s="98">
        <v>256400</v>
      </c>
      <c r="H598" s="114">
        <f>G598/F598</f>
        <v>1</v>
      </c>
      <c r="I598" s="98"/>
      <c r="J598" s="18"/>
    </row>
    <row r="599" spans="1:10" ht="40.5" customHeight="1">
      <c r="A599" s="35" t="s">
        <v>493</v>
      </c>
      <c r="B599" s="216">
        <v>8000</v>
      </c>
      <c r="C599" s="216">
        <v>8000</v>
      </c>
      <c r="D599" s="197">
        <f>C599-B599</f>
        <v>0</v>
      </c>
      <c r="E599" s="198">
        <f>C599/B599</f>
        <v>1</v>
      </c>
      <c r="F599" s="220"/>
      <c r="G599" s="220"/>
      <c r="H599" s="220"/>
      <c r="I599" s="221"/>
      <c r="J599" s="18"/>
    </row>
    <row r="600" spans="1:10" ht="76.5">
      <c r="A600" s="35" t="s">
        <v>494</v>
      </c>
      <c r="B600" s="216">
        <v>20</v>
      </c>
      <c r="C600" s="216">
        <v>20</v>
      </c>
      <c r="D600" s="197">
        <f>C600-B600</f>
        <v>0</v>
      </c>
      <c r="E600" s="198">
        <f>C600/B600</f>
        <v>1</v>
      </c>
      <c r="F600" s="220"/>
      <c r="G600" s="220"/>
      <c r="H600" s="220"/>
      <c r="I600" s="221"/>
      <c r="J600" s="18"/>
    </row>
    <row r="601" spans="1:10" ht="51">
      <c r="A601" s="18" t="s">
        <v>715</v>
      </c>
      <c r="B601" s="216">
        <v>5</v>
      </c>
      <c r="C601" s="216">
        <v>5</v>
      </c>
      <c r="D601" s="197">
        <f aca="true" t="shared" si="43" ref="D601:D607">C601-B601</f>
        <v>0</v>
      </c>
      <c r="E601" s="198">
        <f aca="true" t="shared" si="44" ref="E601:E607">C601/B601</f>
        <v>1</v>
      </c>
      <c r="F601" s="220"/>
      <c r="G601" s="220"/>
      <c r="H601" s="220"/>
      <c r="I601" s="221"/>
      <c r="J601" s="18"/>
    </row>
    <row r="602" spans="1:10" ht="76.5">
      <c r="A602" s="19" t="s">
        <v>130</v>
      </c>
      <c r="B602" s="216">
        <v>4500</v>
      </c>
      <c r="C602" s="216">
        <v>4500</v>
      </c>
      <c r="D602" s="197">
        <f t="shared" si="43"/>
        <v>0</v>
      </c>
      <c r="E602" s="198">
        <f t="shared" si="44"/>
        <v>1</v>
      </c>
      <c r="F602" s="220"/>
      <c r="G602" s="220"/>
      <c r="H602" s="220"/>
      <c r="I602" s="221"/>
      <c r="J602" s="18"/>
    </row>
    <row r="603" spans="1:10" ht="40.5" customHeight="1">
      <c r="A603" s="19" t="s">
        <v>638</v>
      </c>
      <c r="B603" s="216">
        <v>68</v>
      </c>
      <c r="C603" s="216">
        <v>68</v>
      </c>
      <c r="D603" s="197">
        <f t="shared" si="43"/>
        <v>0</v>
      </c>
      <c r="E603" s="198">
        <f t="shared" si="44"/>
        <v>1</v>
      </c>
      <c r="F603" s="220"/>
      <c r="G603" s="220"/>
      <c r="H603" s="220"/>
      <c r="I603" s="221"/>
      <c r="J603" s="18"/>
    </row>
    <row r="604" spans="1:10" ht="51">
      <c r="A604" s="19" t="s">
        <v>89</v>
      </c>
      <c r="B604" s="216">
        <v>183</v>
      </c>
      <c r="C604" s="216">
        <v>183</v>
      </c>
      <c r="D604" s="197">
        <f t="shared" si="43"/>
        <v>0</v>
      </c>
      <c r="E604" s="198">
        <f t="shared" si="44"/>
        <v>1</v>
      </c>
      <c r="F604" s="220"/>
      <c r="G604" s="220"/>
      <c r="H604" s="220"/>
      <c r="I604" s="221"/>
      <c r="J604" s="18"/>
    </row>
    <row r="605" spans="1:10" ht="76.5">
      <c r="A605" s="19" t="s">
        <v>366</v>
      </c>
      <c r="B605" s="216">
        <v>143</v>
      </c>
      <c r="C605" s="216">
        <v>143</v>
      </c>
      <c r="D605" s="197">
        <f t="shared" si="43"/>
        <v>0</v>
      </c>
      <c r="E605" s="198">
        <f t="shared" si="44"/>
        <v>1</v>
      </c>
      <c r="F605" s="220"/>
      <c r="G605" s="220"/>
      <c r="H605" s="220"/>
      <c r="I605" s="221"/>
      <c r="J605" s="18"/>
    </row>
    <row r="606" spans="1:10" ht="38.25">
      <c r="A606" s="19" t="s">
        <v>367</v>
      </c>
      <c r="B606" s="216">
        <v>1</v>
      </c>
      <c r="C606" s="216">
        <v>1</v>
      </c>
      <c r="D606" s="197">
        <f t="shared" si="43"/>
        <v>0</v>
      </c>
      <c r="E606" s="198">
        <f t="shared" si="44"/>
        <v>1</v>
      </c>
      <c r="F606" s="220"/>
      <c r="G606" s="220"/>
      <c r="H606" s="220"/>
      <c r="I606" s="221"/>
      <c r="J606" s="18"/>
    </row>
    <row r="607" spans="1:10" ht="51">
      <c r="A607" s="19" t="s">
        <v>412</v>
      </c>
      <c r="B607" s="216">
        <v>12</v>
      </c>
      <c r="C607" s="216">
        <v>12</v>
      </c>
      <c r="D607" s="197">
        <f t="shared" si="43"/>
        <v>0</v>
      </c>
      <c r="E607" s="198">
        <f t="shared" si="44"/>
        <v>1</v>
      </c>
      <c r="F607" s="220"/>
      <c r="G607" s="220"/>
      <c r="H607" s="220"/>
      <c r="I607" s="221"/>
      <c r="J607" s="18"/>
    </row>
    <row r="608" spans="1:10" ht="14.25" customHeight="1">
      <c r="A608" s="4" t="s">
        <v>639</v>
      </c>
      <c r="B608" s="78">
        <f>SUM(B597:B607)</f>
        <v>12932</v>
      </c>
      <c r="C608" s="78">
        <f>SUM(C597:C607)</f>
        <v>12932</v>
      </c>
      <c r="D608" s="223">
        <f>C608-B608</f>
        <v>0</v>
      </c>
      <c r="E608" s="224">
        <f>C608/B608</f>
        <v>1</v>
      </c>
      <c r="F608" s="80">
        <f>SUM(F598:F607)</f>
        <v>256400</v>
      </c>
      <c r="G608" s="80">
        <f>SUM(G598:G607)</f>
        <v>256400</v>
      </c>
      <c r="H608" s="225">
        <f>G608/F608</f>
        <v>1</v>
      </c>
      <c r="I608" s="79">
        <f>E608/H608</f>
        <v>1</v>
      </c>
      <c r="J608" s="18"/>
    </row>
    <row r="609" spans="1:10" ht="12.75" customHeight="1">
      <c r="A609" s="520" t="s">
        <v>495</v>
      </c>
      <c r="B609" s="520"/>
      <c r="C609" s="520"/>
      <c r="D609" s="520"/>
      <c r="E609" s="520"/>
      <c r="F609" s="520"/>
      <c r="G609" s="520"/>
      <c r="H609" s="520"/>
      <c r="I609" s="520"/>
      <c r="J609" s="520"/>
    </row>
    <row r="610" spans="1:10" ht="38.25" customHeight="1">
      <c r="A610" s="19" t="s">
        <v>496</v>
      </c>
      <c r="B610" s="19"/>
      <c r="C610" s="19"/>
      <c r="D610" s="19"/>
      <c r="E610" s="19"/>
      <c r="F610" s="420">
        <v>31508007</v>
      </c>
      <c r="G610" s="420">
        <v>31508007</v>
      </c>
      <c r="H610" s="421">
        <f>G610/F610</f>
        <v>1</v>
      </c>
      <c r="I610" s="422"/>
      <c r="J610" s="19"/>
    </row>
    <row r="611" spans="1:10" ht="25.5">
      <c r="A611" s="18" t="s">
        <v>497</v>
      </c>
      <c r="B611" s="200"/>
      <c r="C611" s="200"/>
      <c r="D611" s="159"/>
      <c r="E611" s="112"/>
      <c r="F611" s="159"/>
      <c r="G611" s="159"/>
      <c r="H611" s="114"/>
      <c r="I611" s="112"/>
      <c r="J611" s="18"/>
    </row>
    <row r="612" spans="1:10" ht="24.75" customHeight="1">
      <c r="A612" s="36" t="s">
        <v>498</v>
      </c>
      <c r="B612" s="226">
        <v>319.5</v>
      </c>
      <c r="C612" s="226">
        <v>319.5</v>
      </c>
      <c r="D612" s="227">
        <f>C612-B612</f>
        <v>0</v>
      </c>
      <c r="E612" s="228">
        <f>C612/B612</f>
        <v>1</v>
      </c>
      <c r="F612" s="220"/>
      <c r="G612" s="220"/>
      <c r="H612" s="221"/>
      <c r="I612" s="221"/>
      <c r="J612" s="18"/>
    </row>
    <row r="613" spans="1:10" ht="51">
      <c r="A613" s="36" t="s">
        <v>499</v>
      </c>
      <c r="B613" s="216">
        <v>3</v>
      </c>
      <c r="C613" s="216">
        <v>3</v>
      </c>
      <c r="D613" s="227">
        <f>C613-B613</f>
        <v>0</v>
      </c>
      <c r="E613" s="228">
        <f>C613/B613</f>
        <v>1</v>
      </c>
      <c r="F613" s="420">
        <f>SUM(F610:F612)</f>
        <v>31508007</v>
      </c>
      <c r="G613" s="420">
        <f>SUM(G610:G612)</f>
        <v>31508007</v>
      </c>
      <c r="H613" s="229">
        <f>G613/F613</f>
        <v>1</v>
      </c>
      <c r="I613" s="77">
        <f>E613/H613</f>
        <v>1</v>
      </c>
      <c r="J613" s="18"/>
    </row>
    <row r="614" spans="1:10" ht="13.5" customHeight="1">
      <c r="A614" s="2" t="s">
        <v>641</v>
      </c>
      <c r="B614" s="99">
        <f>SUM(B612:B613)</f>
        <v>322.5</v>
      </c>
      <c r="C614" s="99">
        <f>SUM(C612:C613)</f>
        <v>322.5</v>
      </c>
      <c r="D614" s="232">
        <f>C614-B614</f>
        <v>0</v>
      </c>
      <c r="E614" s="233">
        <f>C614/B614</f>
        <v>1</v>
      </c>
      <c r="F614" s="80">
        <f>SUM(F611:F613)</f>
        <v>31508007</v>
      </c>
      <c r="G614" s="80">
        <f>SUM(G611:G613)</f>
        <v>31508007</v>
      </c>
      <c r="H614" s="225">
        <f>G614/F614</f>
        <v>1</v>
      </c>
      <c r="I614" s="79">
        <f>E614/H614</f>
        <v>1</v>
      </c>
      <c r="J614" s="18"/>
    </row>
    <row r="615" spans="1:10" ht="25.5" customHeight="1">
      <c r="A615" s="2" t="s">
        <v>500</v>
      </c>
      <c r="B615" s="235"/>
      <c r="C615" s="236"/>
      <c r="D615" s="235"/>
      <c r="E615" s="234"/>
      <c r="F615" s="235"/>
      <c r="G615" s="235"/>
      <c r="H615" s="234"/>
      <c r="I615" s="112"/>
      <c r="J615" s="17"/>
    </row>
    <row r="616" spans="1:10" ht="61.5" customHeight="1">
      <c r="A616" s="34" t="s">
        <v>419</v>
      </c>
      <c r="B616" s="159"/>
      <c r="C616" s="110"/>
      <c r="D616" s="159"/>
      <c r="E616" s="112"/>
      <c r="F616" s="159">
        <v>23700</v>
      </c>
      <c r="G616" s="159">
        <v>23700</v>
      </c>
      <c r="H616" s="229">
        <f>G616/F616</f>
        <v>1</v>
      </c>
      <c r="I616" s="112"/>
      <c r="J616" s="17"/>
    </row>
    <row r="617" spans="1:10" ht="25.5" customHeight="1">
      <c r="A617" s="32" t="s">
        <v>420</v>
      </c>
      <c r="B617" s="159"/>
      <c r="C617" s="110"/>
      <c r="D617" s="159"/>
      <c r="E617" s="112"/>
      <c r="F617" s="159"/>
      <c r="G617" s="159"/>
      <c r="H617" s="112"/>
      <c r="I617" s="112"/>
      <c r="J617" s="110"/>
    </row>
    <row r="618" spans="1:10" ht="13.5" customHeight="1">
      <c r="A618" s="32" t="s">
        <v>642</v>
      </c>
      <c r="B618" s="159">
        <v>381.94</v>
      </c>
      <c r="C618" s="110">
        <v>381.94</v>
      </c>
      <c r="D618" s="227">
        <f>C618-B618</f>
        <v>0</v>
      </c>
      <c r="E618" s="228">
        <f>C618/B618</f>
        <v>1</v>
      </c>
      <c r="F618" s="159"/>
      <c r="G618" s="159"/>
      <c r="H618" s="112"/>
      <c r="I618" s="112"/>
      <c r="J618" s="17"/>
    </row>
    <row r="619" spans="1:10" ht="17.25" customHeight="1">
      <c r="A619" s="34" t="s">
        <v>421</v>
      </c>
      <c r="B619" s="245">
        <f>B618</f>
        <v>381.94</v>
      </c>
      <c r="C619" s="245">
        <f>C618</f>
        <v>381.94</v>
      </c>
      <c r="D619" s="232">
        <f>C619-B619</f>
        <v>0</v>
      </c>
      <c r="E619" s="233">
        <f>C619/B619</f>
        <v>1</v>
      </c>
      <c r="F619" s="235">
        <f>F616</f>
        <v>23700</v>
      </c>
      <c r="G619" s="235">
        <f>G616</f>
        <v>23700</v>
      </c>
      <c r="H619" s="225">
        <f>G619/F619</f>
        <v>1</v>
      </c>
      <c r="I619" s="112"/>
      <c r="J619" s="37"/>
    </row>
    <row r="620" spans="1:10" ht="12.75" customHeight="1">
      <c r="A620" s="4" t="s">
        <v>506</v>
      </c>
      <c r="B620" s="99">
        <f>B614+B619</f>
        <v>704.44</v>
      </c>
      <c r="C620" s="99">
        <f>C614+C619</f>
        <v>704.44</v>
      </c>
      <c r="D620" s="232">
        <f aca="true" t="shared" si="45" ref="D620:D630">C620-B620</f>
        <v>0</v>
      </c>
      <c r="E620" s="233">
        <f aca="true" t="shared" si="46" ref="E620:E628">C620/B620</f>
        <v>1</v>
      </c>
      <c r="F620" s="99">
        <f>F614+F619</f>
        <v>31531707</v>
      </c>
      <c r="G620" s="99">
        <f>G614+G619</f>
        <v>31531707</v>
      </c>
      <c r="H620" s="234">
        <f>G620/F620</f>
        <v>1</v>
      </c>
      <c r="I620" s="79">
        <f>E620/H620</f>
        <v>1</v>
      </c>
      <c r="J620" s="18"/>
    </row>
    <row r="621" spans="1:10" ht="12.75" customHeight="1">
      <c r="A621" s="492" t="s">
        <v>501</v>
      </c>
      <c r="B621" s="492"/>
      <c r="C621" s="492"/>
      <c r="D621" s="492"/>
      <c r="E621" s="492"/>
      <c r="F621" s="492"/>
      <c r="G621" s="492"/>
      <c r="H621" s="492"/>
      <c r="I621" s="492"/>
      <c r="J621" s="492"/>
    </row>
    <row r="622" spans="1:10" ht="27" customHeight="1">
      <c r="A622" s="20" t="s">
        <v>502</v>
      </c>
      <c r="B622" s="230"/>
      <c r="C622" s="230"/>
      <c r="D622" s="227"/>
      <c r="E622" s="228"/>
      <c r="F622" s="222">
        <v>60000</v>
      </c>
      <c r="G622" s="222">
        <v>60000</v>
      </c>
      <c r="H622" s="112">
        <f>G622/F622</f>
        <v>1</v>
      </c>
      <c r="I622" s="77"/>
      <c r="J622" s="18"/>
    </row>
    <row r="623" spans="1:10" ht="48" customHeight="1">
      <c r="A623" s="20" t="s">
        <v>503</v>
      </c>
      <c r="B623" s="230">
        <v>1</v>
      </c>
      <c r="C623" s="230">
        <v>1</v>
      </c>
      <c r="D623" s="227">
        <f t="shared" si="45"/>
        <v>0</v>
      </c>
      <c r="E623" s="228">
        <f t="shared" si="46"/>
        <v>1</v>
      </c>
      <c r="F623" s="222">
        <v>60000</v>
      </c>
      <c r="G623" s="222">
        <v>60000</v>
      </c>
      <c r="H623" s="112"/>
      <c r="I623" s="77"/>
      <c r="J623" s="18"/>
    </row>
    <row r="624" spans="1:10" ht="12.75">
      <c r="A624" s="4" t="s">
        <v>504</v>
      </c>
      <c r="B624" s="99">
        <f>B623</f>
        <v>1</v>
      </c>
      <c r="C624" s="99">
        <f>C623</f>
        <v>1</v>
      </c>
      <c r="D624" s="232">
        <f t="shared" si="45"/>
        <v>0</v>
      </c>
      <c r="E624" s="233">
        <f t="shared" si="46"/>
        <v>1</v>
      </c>
      <c r="F624" s="80">
        <f>F622</f>
        <v>60000</v>
      </c>
      <c r="G624" s="80">
        <f>G622</f>
        <v>60000</v>
      </c>
      <c r="H624" s="234">
        <f>G624/F624</f>
        <v>1</v>
      </c>
      <c r="I624" s="79">
        <f>E624/H624</f>
        <v>1</v>
      </c>
      <c r="J624" s="18"/>
    </row>
    <row r="625" spans="1:10" ht="12.75" customHeight="1">
      <c r="A625" s="520" t="s">
        <v>505</v>
      </c>
      <c r="B625" s="520"/>
      <c r="C625" s="520"/>
      <c r="D625" s="520"/>
      <c r="E625" s="520"/>
      <c r="F625" s="520"/>
      <c r="G625" s="520"/>
      <c r="H625" s="520"/>
      <c r="I625" s="520"/>
      <c r="J625" s="520"/>
    </row>
    <row r="626" spans="1:10" ht="25.5">
      <c r="A626" s="20" t="s">
        <v>54</v>
      </c>
      <c r="B626" s="231"/>
      <c r="C626" s="231"/>
      <c r="D626" s="231"/>
      <c r="E626" s="231"/>
      <c r="F626" s="98">
        <v>3948141</v>
      </c>
      <c r="G626" s="98">
        <v>3948141</v>
      </c>
      <c r="H626" s="112">
        <f>G626/F626</f>
        <v>1</v>
      </c>
      <c r="I626" s="231"/>
      <c r="J626" s="64"/>
    </row>
    <row r="627" spans="1:10" ht="89.25">
      <c r="A627" s="20" t="s">
        <v>131</v>
      </c>
      <c r="B627" s="76">
        <v>23.7</v>
      </c>
      <c r="C627" s="76">
        <v>23.7</v>
      </c>
      <c r="D627" s="227">
        <f t="shared" si="45"/>
        <v>0</v>
      </c>
      <c r="E627" s="228">
        <f t="shared" si="46"/>
        <v>1</v>
      </c>
      <c r="F627" s="231"/>
      <c r="G627" s="231"/>
      <c r="H627" s="231"/>
      <c r="I627" s="231"/>
      <c r="J627" s="64"/>
    </row>
    <row r="628" spans="1:10" ht="12.75">
      <c r="A628" s="4" t="s">
        <v>55</v>
      </c>
      <c r="B628" s="78">
        <f>B627</f>
        <v>23.7</v>
      </c>
      <c r="C628" s="78">
        <f>C627</f>
        <v>23.7</v>
      </c>
      <c r="D628" s="232">
        <f t="shared" si="45"/>
        <v>0</v>
      </c>
      <c r="E628" s="233">
        <f t="shared" si="46"/>
        <v>1</v>
      </c>
      <c r="F628" s="80">
        <f>F626</f>
        <v>3948141</v>
      </c>
      <c r="G628" s="80">
        <f>G626</f>
        <v>3948141</v>
      </c>
      <c r="H628" s="234">
        <f>G628/F628</f>
        <v>1</v>
      </c>
      <c r="I628" s="79">
        <f>E628/H628</f>
        <v>1</v>
      </c>
      <c r="J628" s="64"/>
    </row>
    <row r="629" spans="1:10" ht="26.25" customHeight="1">
      <c r="A629" s="1" t="s">
        <v>101</v>
      </c>
      <c r="B629" s="230"/>
      <c r="C629" s="230"/>
      <c r="D629" s="227"/>
      <c r="E629" s="228"/>
      <c r="F629" s="423">
        <f>F630/F809</f>
        <v>0.02004326705952312</v>
      </c>
      <c r="G629" s="423">
        <f>G630/G809</f>
        <v>0.02080345690846245</v>
      </c>
      <c r="H629" s="112"/>
      <c r="I629" s="286"/>
      <c r="J629" s="18"/>
    </row>
    <row r="630" spans="1:10" ht="15" customHeight="1">
      <c r="A630" s="293" t="s">
        <v>238</v>
      </c>
      <c r="B630" s="294">
        <f>B595+B608+B614+B619+B624+B628</f>
        <v>13673.44</v>
      </c>
      <c r="C630" s="294">
        <f>C595+C608+C614+C619+C624+C628</f>
        <v>13675.44</v>
      </c>
      <c r="D630" s="295">
        <f t="shared" si="45"/>
        <v>2</v>
      </c>
      <c r="E630" s="296">
        <f>(E595+E608+E620+E624+E628)/5</f>
        <v>1.032520325203252</v>
      </c>
      <c r="F630" s="294">
        <f>F595+F608+F614+F619+F624+F628</f>
        <v>49136340</v>
      </c>
      <c r="G630" s="294">
        <f>G595+G608+G614+G619+G624+G628</f>
        <v>49136340</v>
      </c>
      <c r="H630" s="297">
        <f>G630/F630</f>
        <v>1</v>
      </c>
      <c r="I630" s="296">
        <f>E630/H630</f>
        <v>1.032520325203252</v>
      </c>
      <c r="J630" s="296"/>
    </row>
    <row r="631" spans="1:10" ht="16.5" customHeight="1">
      <c r="A631" s="520" t="s">
        <v>523</v>
      </c>
      <c r="B631" s="520"/>
      <c r="C631" s="520"/>
      <c r="D631" s="520"/>
      <c r="E631" s="520"/>
      <c r="F631" s="520"/>
      <c r="G631" s="520"/>
      <c r="H631" s="520"/>
      <c r="I631" s="520"/>
      <c r="J631" s="520"/>
    </row>
    <row r="632" spans="1:10" ht="51">
      <c r="A632" s="30" t="s">
        <v>330</v>
      </c>
      <c r="B632" s="161"/>
      <c r="C632" s="161"/>
      <c r="D632" s="161"/>
      <c r="E632" s="26"/>
      <c r="F632" s="179">
        <v>44303942.17</v>
      </c>
      <c r="G632" s="179">
        <v>44303942.17</v>
      </c>
      <c r="H632" s="31">
        <f>G632/F632</f>
        <v>1</v>
      </c>
      <c r="I632" s="161"/>
      <c r="J632" s="177"/>
    </row>
    <row r="633" spans="1:10" ht="75.75" customHeight="1">
      <c r="A633" s="30" t="s">
        <v>524</v>
      </c>
      <c r="B633" s="161"/>
      <c r="C633" s="161"/>
      <c r="D633" s="26"/>
      <c r="E633" s="26"/>
      <c r="F633" s="179">
        <v>352483600</v>
      </c>
      <c r="G633" s="179">
        <v>352483600</v>
      </c>
      <c r="H633" s="31">
        <f aca="true" t="shared" si="47" ref="H633:H651">G633/F633</f>
        <v>1</v>
      </c>
      <c r="I633" s="161"/>
      <c r="J633" s="177"/>
    </row>
    <row r="634" spans="1:10" ht="76.5">
      <c r="A634" s="30" t="s">
        <v>525</v>
      </c>
      <c r="B634" s="180"/>
      <c r="C634" s="180"/>
      <c r="D634" s="180"/>
      <c r="E634" s="26"/>
      <c r="F634" s="179">
        <v>17356000</v>
      </c>
      <c r="G634" s="179">
        <v>17356000</v>
      </c>
      <c r="H634" s="31">
        <f t="shared" si="47"/>
        <v>1</v>
      </c>
      <c r="I634" s="181"/>
      <c r="J634" s="160"/>
    </row>
    <row r="635" spans="1:10" ht="76.5">
      <c r="A635" s="30" t="s">
        <v>331</v>
      </c>
      <c r="B635" s="25"/>
      <c r="C635" s="25"/>
      <c r="D635" s="25"/>
      <c r="E635" s="26"/>
      <c r="F635" s="179">
        <v>932900</v>
      </c>
      <c r="G635" s="179">
        <v>800000</v>
      </c>
      <c r="H635" s="31">
        <f t="shared" si="47"/>
        <v>0.8575410011791189</v>
      </c>
      <c r="I635" s="181"/>
      <c r="J635" s="178"/>
    </row>
    <row r="636" spans="1:10" ht="51">
      <c r="A636" s="30" t="s">
        <v>135</v>
      </c>
      <c r="B636" s="161"/>
      <c r="C636" s="161"/>
      <c r="D636" s="26"/>
      <c r="E636" s="26"/>
      <c r="F636" s="179">
        <v>26628486.28</v>
      </c>
      <c r="G636" s="179">
        <v>26628486.28</v>
      </c>
      <c r="H636" s="31">
        <f t="shared" si="47"/>
        <v>1</v>
      </c>
      <c r="I636" s="161"/>
      <c r="J636" s="177"/>
    </row>
    <row r="637" spans="1:10" ht="86.25" customHeight="1">
      <c r="A637" s="30" t="s">
        <v>0</v>
      </c>
      <c r="B637" s="180"/>
      <c r="C637" s="180"/>
      <c r="D637" s="180"/>
      <c r="E637" s="26"/>
      <c r="F637" s="179">
        <v>263105100</v>
      </c>
      <c r="G637" s="179">
        <v>263105100</v>
      </c>
      <c r="H637" s="31">
        <f t="shared" si="47"/>
        <v>1</v>
      </c>
      <c r="I637" s="181"/>
      <c r="J637" s="160"/>
    </row>
    <row r="638" spans="1:10" ht="38.25">
      <c r="A638" s="30" t="s">
        <v>136</v>
      </c>
      <c r="B638" s="25"/>
      <c r="C638" s="25"/>
      <c r="D638" s="25"/>
      <c r="E638" s="26"/>
      <c r="F638" s="179">
        <v>6975197.72</v>
      </c>
      <c r="G638" s="179">
        <v>6975197.72</v>
      </c>
      <c r="H638" s="31">
        <f t="shared" si="47"/>
        <v>1</v>
      </c>
      <c r="I638" s="181"/>
      <c r="J638" s="178"/>
    </row>
    <row r="639" spans="1:10" ht="63.75">
      <c r="A639" s="30" t="s">
        <v>137</v>
      </c>
      <c r="B639" s="161"/>
      <c r="C639" s="161"/>
      <c r="D639" s="26"/>
      <c r="E639" s="26"/>
      <c r="F639" s="179">
        <v>1203643.18</v>
      </c>
      <c r="G639" s="179">
        <v>1203643.18</v>
      </c>
      <c r="H639" s="31">
        <f t="shared" si="47"/>
        <v>1</v>
      </c>
      <c r="I639" s="161"/>
      <c r="J639" s="177"/>
    </row>
    <row r="640" spans="1:10" ht="78.75" customHeight="1">
      <c r="A640" s="30" t="s">
        <v>723</v>
      </c>
      <c r="B640" s="161"/>
      <c r="C640" s="161"/>
      <c r="D640" s="26"/>
      <c r="E640" s="26"/>
      <c r="F640" s="179">
        <v>285200</v>
      </c>
      <c r="G640" s="179">
        <v>285200</v>
      </c>
      <c r="H640" s="31">
        <f t="shared" si="47"/>
        <v>1</v>
      </c>
      <c r="I640" s="161"/>
      <c r="J640" s="177"/>
    </row>
    <row r="641" spans="1:10" ht="127.5">
      <c r="A641" s="30" t="s">
        <v>724</v>
      </c>
      <c r="B641" s="161"/>
      <c r="C641" s="161"/>
      <c r="D641" s="26"/>
      <c r="E641" s="26"/>
      <c r="F641" s="179">
        <v>50401100</v>
      </c>
      <c r="G641" s="179">
        <v>50401100</v>
      </c>
      <c r="H641" s="31">
        <f t="shared" si="47"/>
        <v>1</v>
      </c>
      <c r="I641" s="161"/>
      <c r="J641" s="177"/>
    </row>
    <row r="642" spans="1:10" ht="63.75">
      <c r="A642" s="30" t="s">
        <v>164</v>
      </c>
      <c r="B642" s="161"/>
      <c r="C642" s="161"/>
      <c r="D642" s="26"/>
      <c r="E642" s="26"/>
      <c r="F642" s="179">
        <v>264700</v>
      </c>
      <c r="G642" s="179">
        <v>264700</v>
      </c>
      <c r="H642" s="31">
        <f t="shared" si="47"/>
        <v>1</v>
      </c>
      <c r="I642" s="161"/>
      <c r="J642" s="177"/>
    </row>
    <row r="643" spans="1:10" ht="63.75">
      <c r="A643" s="30" t="s">
        <v>166</v>
      </c>
      <c r="B643" s="161"/>
      <c r="C643" s="161"/>
      <c r="D643" s="26"/>
      <c r="E643" s="26"/>
      <c r="F643" s="179">
        <v>997800</v>
      </c>
      <c r="G643" s="179">
        <v>997800</v>
      </c>
      <c r="H643" s="31">
        <f t="shared" si="47"/>
        <v>1</v>
      </c>
      <c r="I643" s="161"/>
      <c r="J643" s="177"/>
    </row>
    <row r="644" spans="1:10" ht="25.5">
      <c r="A644" s="30" t="s">
        <v>185</v>
      </c>
      <c r="B644" s="161"/>
      <c r="C644" s="161"/>
      <c r="D644" s="26"/>
      <c r="E644" s="26"/>
      <c r="F644" s="179">
        <v>8608700</v>
      </c>
      <c r="G644" s="179">
        <v>8608700</v>
      </c>
      <c r="H644" s="31">
        <f t="shared" si="47"/>
        <v>1</v>
      </c>
      <c r="I644" s="161"/>
      <c r="J644" s="177"/>
    </row>
    <row r="645" spans="1:10" ht="25.5">
      <c r="A645" s="30" t="s">
        <v>140</v>
      </c>
      <c r="B645" s="161"/>
      <c r="C645" s="161"/>
      <c r="D645" s="26"/>
      <c r="E645" s="26"/>
      <c r="F645" s="179">
        <v>4944853.45</v>
      </c>
      <c r="G645" s="179">
        <v>4944853.45</v>
      </c>
      <c r="H645" s="31">
        <f t="shared" si="47"/>
        <v>1</v>
      </c>
      <c r="I645" s="161"/>
      <c r="J645" s="177"/>
    </row>
    <row r="646" spans="1:10" ht="76.5">
      <c r="A646" s="30" t="s">
        <v>141</v>
      </c>
      <c r="B646" s="161"/>
      <c r="C646" s="161"/>
      <c r="D646" s="26"/>
      <c r="E646" s="26"/>
      <c r="F646" s="179">
        <v>41633.02</v>
      </c>
      <c r="G646" s="179">
        <v>41633.02</v>
      </c>
      <c r="H646" s="31">
        <f t="shared" si="47"/>
        <v>1</v>
      </c>
      <c r="I646" s="161"/>
      <c r="J646" s="177"/>
    </row>
    <row r="647" spans="1:10" ht="38.25">
      <c r="A647" s="30" t="s">
        <v>329</v>
      </c>
      <c r="B647" s="161"/>
      <c r="C647" s="161"/>
      <c r="D647" s="26"/>
      <c r="E647" s="26"/>
      <c r="F647" s="179">
        <v>3840700</v>
      </c>
      <c r="G647" s="179">
        <v>3840700</v>
      </c>
      <c r="H647" s="31">
        <f t="shared" si="47"/>
        <v>1</v>
      </c>
      <c r="I647" s="161"/>
      <c r="J647" s="177"/>
    </row>
    <row r="648" spans="1:10" ht="140.25">
      <c r="A648" s="30" t="s">
        <v>656</v>
      </c>
      <c r="B648" s="161"/>
      <c r="C648" s="161"/>
      <c r="D648" s="26"/>
      <c r="E648" s="26"/>
      <c r="F648" s="179">
        <v>515000</v>
      </c>
      <c r="G648" s="179">
        <v>515000</v>
      </c>
      <c r="H648" s="31">
        <f t="shared" si="47"/>
        <v>1</v>
      </c>
      <c r="I648" s="161"/>
      <c r="J648" s="177"/>
    </row>
    <row r="649" spans="1:10" ht="293.25">
      <c r="A649" s="30" t="s">
        <v>629</v>
      </c>
      <c r="B649" s="180"/>
      <c r="C649" s="180"/>
      <c r="D649" s="180"/>
      <c r="E649" s="26"/>
      <c r="F649" s="179">
        <v>714200</v>
      </c>
      <c r="G649" s="179">
        <v>714200</v>
      </c>
      <c r="H649" s="31">
        <f t="shared" si="47"/>
        <v>1</v>
      </c>
      <c r="I649" s="181"/>
      <c r="J649" s="160"/>
    </row>
    <row r="650" spans="1:10" ht="25.5">
      <c r="A650" s="30" t="s">
        <v>659</v>
      </c>
      <c r="B650" s="161"/>
      <c r="C650" s="161"/>
      <c r="D650" s="26"/>
      <c r="E650" s="26"/>
      <c r="F650" s="179">
        <v>3601917.01</v>
      </c>
      <c r="G650" s="179">
        <v>3601917.01</v>
      </c>
      <c r="H650" s="31">
        <f t="shared" si="47"/>
        <v>1</v>
      </c>
      <c r="I650" s="161"/>
      <c r="J650" s="177"/>
    </row>
    <row r="651" spans="1:10" ht="25.5">
      <c r="A651" s="30" t="s">
        <v>662</v>
      </c>
      <c r="B651" s="161"/>
      <c r="C651" s="161"/>
      <c r="D651" s="26"/>
      <c r="E651" s="26"/>
      <c r="F651" s="179">
        <v>1800000</v>
      </c>
      <c r="G651" s="179">
        <v>1800000</v>
      </c>
      <c r="H651" s="31">
        <f t="shared" si="47"/>
        <v>1</v>
      </c>
      <c r="I651" s="161"/>
      <c r="J651" s="177"/>
    </row>
    <row r="652" spans="1:10" ht="38.25">
      <c r="A652" s="164" t="s">
        <v>632</v>
      </c>
      <c r="B652" s="165">
        <v>487</v>
      </c>
      <c r="C652" s="165">
        <v>567</v>
      </c>
      <c r="D652" s="25">
        <f aca="true" t="shared" si="48" ref="D652:D657">C652-B652</f>
        <v>80</v>
      </c>
      <c r="E652" s="26">
        <f>C652/B652</f>
        <v>1.164271047227926</v>
      </c>
      <c r="F652" s="163"/>
      <c r="G652" s="163"/>
      <c r="H652" s="162"/>
      <c r="I652" s="162"/>
      <c r="J652" s="213" t="s">
        <v>665</v>
      </c>
    </row>
    <row r="653" spans="1:10" ht="25.5">
      <c r="A653" s="164" t="s">
        <v>152</v>
      </c>
      <c r="B653" s="165">
        <v>100</v>
      </c>
      <c r="C653" s="165">
        <v>100</v>
      </c>
      <c r="D653" s="25">
        <f t="shared" si="48"/>
        <v>0</v>
      </c>
      <c r="E653" s="26">
        <f>C653/B653</f>
        <v>1</v>
      </c>
      <c r="F653" s="163"/>
      <c r="G653" s="163"/>
      <c r="H653" s="162"/>
      <c r="I653" s="162"/>
      <c r="J653" s="9"/>
    </row>
    <row r="654" spans="1:10" ht="76.5">
      <c r="A654" s="164" t="s">
        <v>428</v>
      </c>
      <c r="B654" s="165">
        <v>100</v>
      </c>
      <c r="C654" s="9">
        <v>100</v>
      </c>
      <c r="D654" s="25">
        <f t="shared" si="48"/>
        <v>0</v>
      </c>
      <c r="E654" s="26">
        <f>C654/B654</f>
        <v>1</v>
      </c>
      <c r="F654" s="179"/>
      <c r="G654" s="179"/>
      <c r="H654" s="31"/>
      <c r="I654" s="161"/>
      <c r="J654" s="177"/>
    </row>
    <row r="655" spans="1:10" ht="76.5">
      <c r="A655" s="185" t="s">
        <v>296</v>
      </c>
      <c r="B655" s="165">
        <v>0.86</v>
      </c>
      <c r="C655" s="9">
        <v>0.94</v>
      </c>
      <c r="D655" s="25">
        <f t="shared" si="48"/>
        <v>0.07999999999999996</v>
      </c>
      <c r="E655" s="26">
        <f>C655/B655</f>
        <v>1.0930232558139534</v>
      </c>
      <c r="F655" s="179"/>
      <c r="G655" s="179"/>
      <c r="H655" s="31"/>
      <c r="I655" s="161"/>
      <c r="J655" s="177"/>
    </row>
    <row r="656" spans="1:10" ht="76.5">
      <c r="A656" s="185" t="s">
        <v>432</v>
      </c>
      <c r="B656" s="165">
        <v>1.29</v>
      </c>
      <c r="C656" s="9">
        <v>1.32</v>
      </c>
      <c r="D656" s="25">
        <f t="shared" si="48"/>
        <v>0.030000000000000027</v>
      </c>
      <c r="E656" s="26">
        <f>C656/B656</f>
        <v>1.0232558139534884</v>
      </c>
      <c r="F656" s="179"/>
      <c r="G656" s="179"/>
      <c r="H656" s="31"/>
      <c r="I656" s="161"/>
      <c r="J656" s="177"/>
    </row>
    <row r="657" spans="1:10" ht="12.75">
      <c r="A657" s="298" t="s">
        <v>722</v>
      </c>
      <c r="B657" s="299">
        <f>SUM(B652:B656)</f>
        <v>689.15</v>
      </c>
      <c r="C657" s="299">
        <f>SUM(C652:C656)</f>
        <v>769.2600000000001</v>
      </c>
      <c r="D657" s="299">
        <f t="shared" si="48"/>
        <v>80.11000000000013</v>
      </c>
      <c r="E657" s="300">
        <f>SUM(E652:E656)/5</f>
        <v>1.0561100233990737</v>
      </c>
      <c r="F657" s="299">
        <f>SUM(F632:F651)</f>
        <v>789004672.83</v>
      </c>
      <c r="G657" s="299">
        <f>SUM(G632:G651)</f>
        <v>788871772.83</v>
      </c>
      <c r="H657" s="301">
        <f>G657/F657</f>
        <v>0.9998315599329427</v>
      </c>
      <c r="I657" s="301">
        <f>E657/H657</f>
        <v>1.0562879446112958</v>
      </c>
      <c r="J657" s="301"/>
    </row>
    <row r="658" spans="1:10" ht="25.5">
      <c r="A658" s="182" t="s">
        <v>610</v>
      </c>
      <c r="B658" s="424"/>
      <c r="C658" s="424"/>
      <c r="D658" s="424"/>
      <c r="E658" s="181"/>
      <c r="F658" s="181">
        <f>F657/F809</f>
        <v>0.3218439014534529</v>
      </c>
      <c r="G658" s="181">
        <f>G657/G809</f>
        <v>0.33399434985127674</v>
      </c>
      <c r="H658" s="425"/>
      <c r="I658" s="174"/>
      <c r="J658" s="178"/>
    </row>
    <row r="659" spans="1:10" ht="18" customHeight="1">
      <c r="A659" s="516" t="s">
        <v>12</v>
      </c>
      <c r="B659" s="516"/>
      <c r="C659" s="516"/>
      <c r="D659" s="516"/>
      <c r="E659" s="516"/>
      <c r="F659" s="516"/>
      <c r="G659" s="516"/>
      <c r="H659" s="516"/>
      <c r="I659" s="516"/>
      <c r="J659" s="516"/>
    </row>
    <row r="660" spans="1:10" ht="12.75" customHeight="1">
      <c r="A660" s="509" t="s">
        <v>213</v>
      </c>
      <c r="B660" s="509"/>
      <c r="C660" s="509"/>
      <c r="D660" s="509"/>
      <c r="E660" s="509"/>
      <c r="F660" s="509"/>
      <c r="G660" s="509"/>
      <c r="H660" s="509"/>
      <c r="I660" s="509"/>
      <c r="J660" s="509"/>
    </row>
    <row r="661" spans="1:10" ht="25.5">
      <c r="A661" s="1" t="s">
        <v>192</v>
      </c>
      <c r="B661" s="98"/>
      <c r="C661" s="98"/>
      <c r="D661" s="98"/>
      <c r="E661" s="98"/>
      <c r="F661" s="98">
        <v>11950231.2</v>
      </c>
      <c r="G661" s="98">
        <v>11950231.2</v>
      </c>
      <c r="H661" s="98">
        <f>G661/F661</f>
        <v>1</v>
      </c>
      <c r="I661" s="109"/>
      <c r="J661" s="14"/>
    </row>
    <row r="662" spans="1:10" ht="63.75">
      <c r="A662" s="97" t="s">
        <v>438</v>
      </c>
      <c r="B662" s="98">
        <v>36.84</v>
      </c>
      <c r="C662" s="98">
        <v>36.84</v>
      </c>
      <c r="D662" s="98">
        <f>SUM(C662-B662)</f>
        <v>0</v>
      </c>
      <c r="E662" s="98">
        <f>SUM(C662/B662)</f>
        <v>1</v>
      </c>
      <c r="F662" s="98"/>
      <c r="G662" s="98"/>
      <c r="H662" s="98"/>
      <c r="I662" s="109"/>
      <c r="J662" s="49"/>
    </row>
    <row r="663" spans="1:10" ht="38.25">
      <c r="A663" s="50" t="s">
        <v>222</v>
      </c>
      <c r="B663" s="98">
        <v>550</v>
      </c>
      <c r="C663" s="98">
        <v>550</v>
      </c>
      <c r="D663" s="98">
        <f>SUM(C663-B663)</f>
        <v>0</v>
      </c>
      <c r="E663" s="98">
        <f>SUM(C663/B663)</f>
        <v>1</v>
      </c>
      <c r="F663" s="98"/>
      <c r="G663" s="98"/>
      <c r="H663" s="98"/>
      <c r="I663" s="109"/>
      <c r="J663" s="49"/>
    </row>
    <row r="664" spans="1:10" ht="38.25">
      <c r="A664" s="50" t="s">
        <v>224</v>
      </c>
      <c r="B664" s="98">
        <v>55823</v>
      </c>
      <c r="C664" s="98">
        <v>55823</v>
      </c>
      <c r="D664" s="98">
        <f>SUM(C664-B664)</f>
        <v>0</v>
      </c>
      <c r="E664" s="98">
        <f>SUM(C664/B664)</f>
        <v>1</v>
      </c>
      <c r="F664" s="98"/>
      <c r="G664" s="98"/>
      <c r="H664" s="98"/>
      <c r="I664" s="109"/>
      <c r="J664" s="49"/>
    </row>
    <row r="665" spans="1:10" ht="12.75">
      <c r="A665" s="2" t="s">
        <v>516</v>
      </c>
      <c r="B665" s="251">
        <f>SUM(B662:B664)</f>
        <v>56409.84</v>
      </c>
      <c r="C665" s="251">
        <f>SUM(C662:C664)</f>
        <v>56409.84</v>
      </c>
      <c r="D665" s="251">
        <f>C665-B665</f>
        <v>0</v>
      </c>
      <c r="E665" s="79">
        <f>C665/B665</f>
        <v>1</v>
      </c>
      <c r="F665" s="80">
        <f>SUM(F661:F661)</f>
        <v>11950231.2</v>
      </c>
      <c r="G665" s="80">
        <f>SUM(G661:G663)</f>
        <v>11950231.2</v>
      </c>
      <c r="H665" s="79">
        <f>G665/F665</f>
        <v>1</v>
      </c>
      <c r="I665" s="79">
        <f>E665/H665</f>
        <v>1</v>
      </c>
      <c r="J665" s="32"/>
    </row>
    <row r="666" spans="1:10" ht="12.75" customHeight="1">
      <c r="A666" s="509" t="s">
        <v>214</v>
      </c>
      <c r="B666" s="509"/>
      <c r="C666" s="509"/>
      <c r="D666" s="509"/>
      <c r="E666" s="509"/>
      <c r="F666" s="509"/>
      <c r="G666" s="509"/>
      <c r="H666" s="509"/>
      <c r="I666" s="509"/>
      <c r="J666" s="509"/>
    </row>
    <row r="667" spans="1:10" ht="38.25">
      <c r="A667" s="1" t="s">
        <v>235</v>
      </c>
      <c r="B667" s="98"/>
      <c r="C667" s="98"/>
      <c r="D667" s="98"/>
      <c r="E667" s="98"/>
      <c r="F667" s="98">
        <v>5853334.17</v>
      </c>
      <c r="G667" s="98">
        <v>5853334.17</v>
      </c>
      <c r="H667" s="77">
        <f>G667/F667</f>
        <v>1</v>
      </c>
      <c r="I667" s="109"/>
      <c r="J667" s="14"/>
    </row>
    <row r="668" spans="1:10" ht="25.5">
      <c r="A668" s="1" t="s">
        <v>236</v>
      </c>
      <c r="B668" s="98"/>
      <c r="C668" s="98"/>
      <c r="D668" s="98"/>
      <c r="E668" s="98"/>
      <c r="F668" s="98">
        <v>4799818.64</v>
      </c>
      <c r="G668" s="98">
        <v>4799818.64</v>
      </c>
      <c r="H668" s="77">
        <f>G668/F668</f>
        <v>1</v>
      </c>
      <c r="I668" s="109"/>
      <c r="J668" s="14"/>
    </row>
    <row r="669" spans="1:10" ht="25.5">
      <c r="A669" s="1" t="s">
        <v>273</v>
      </c>
      <c r="B669" s="98"/>
      <c r="C669" s="98"/>
      <c r="D669" s="98"/>
      <c r="E669" s="98"/>
      <c r="F669" s="98">
        <v>6262615.36</v>
      </c>
      <c r="G669" s="98">
        <v>6262615.36</v>
      </c>
      <c r="H669" s="77">
        <f>G668/F668</f>
        <v>1</v>
      </c>
      <c r="I669" s="109"/>
      <c r="J669" s="14"/>
    </row>
    <row r="670" spans="1:10" ht="38.25">
      <c r="A670" s="1" t="s">
        <v>274</v>
      </c>
      <c r="B670" s="98"/>
      <c r="C670" s="98"/>
      <c r="D670" s="98"/>
      <c r="E670" s="98"/>
      <c r="F670" s="98">
        <v>10828352.29</v>
      </c>
      <c r="G670" s="98">
        <v>10828352.29</v>
      </c>
      <c r="H670" s="77">
        <f>G669/F669</f>
        <v>1</v>
      </c>
      <c r="I670" s="109"/>
      <c r="J670" s="14"/>
    </row>
    <row r="671" spans="1:10" ht="51">
      <c r="A671" s="50" t="s">
        <v>275</v>
      </c>
      <c r="B671" s="98">
        <v>10</v>
      </c>
      <c r="C671" s="98">
        <v>10</v>
      </c>
      <c r="D671" s="98">
        <f aca="true" t="shared" si="49" ref="D671:D682">SUM(C671-B671)</f>
        <v>0</v>
      </c>
      <c r="E671" s="77">
        <f aca="true" t="shared" si="50" ref="E671:E683">SUM(C671/B671)</f>
        <v>1</v>
      </c>
      <c r="F671" s="98"/>
      <c r="G671" s="98"/>
      <c r="H671" s="98"/>
      <c r="I671" s="109"/>
      <c r="J671" s="49"/>
    </row>
    <row r="672" spans="1:10" ht="38.25">
      <c r="A672" s="50" t="s">
        <v>705</v>
      </c>
      <c r="B672" s="98">
        <v>7</v>
      </c>
      <c r="C672" s="98">
        <v>4</v>
      </c>
      <c r="D672" s="98">
        <f t="shared" si="49"/>
        <v>-3</v>
      </c>
      <c r="E672" s="77">
        <f t="shared" si="50"/>
        <v>0.5714285714285714</v>
      </c>
      <c r="F672" s="98"/>
      <c r="G672" s="98"/>
      <c r="H672" s="98"/>
      <c r="I672" s="109"/>
      <c r="J672" s="49"/>
    </row>
    <row r="673" spans="1:10" ht="63.75">
      <c r="A673" s="50" t="s">
        <v>706</v>
      </c>
      <c r="B673" s="98">
        <v>8</v>
      </c>
      <c r="C673" s="98">
        <v>8</v>
      </c>
      <c r="D673" s="98">
        <f t="shared" si="49"/>
        <v>0</v>
      </c>
      <c r="E673" s="77">
        <f t="shared" si="50"/>
        <v>1</v>
      </c>
      <c r="F673" s="98"/>
      <c r="G673" s="98"/>
      <c r="H673" s="98"/>
      <c r="I673" s="109"/>
      <c r="J673" s="49"/>
    </row>
    <row r="674" spans="1:10" ht="38.25">
      <c r="A674" s="50" t="s">
        <v>564</v>
      </c>
      <c r="B674" s="98">
        <v>15</v>
      </c>
      <c r="C674" s="98">
        <v>23</v>
      </c>
      <c r="D674" s="98">
        <f t="shared" si="49"/>
        <v>8</v>
      </c>
      <c r="E674" s="77">
        <f t="shared" si="50"/>
        <v>1.5333333333333334</v>
      </c>
      <c r="F674" s="98"/>
      <c r="G674" s="98"/>
      <c r="H674" s="98"/>
      <c r="I674" s="109"/>
      <c r="J674" s="49"/>
    </row>
    <row r="675" spans="1:10" ht="63.75">
      <c r="A675" s="50" t="s">
        <v>169</v>
      </c>
      <c r="B675" s="98">
        <v>2</v>
      </c>
      <c r="C675" s="98">
        <v>2</v>
      </c>
      <c r="D675" s="98">
        <f t="shared" si="49"/>
        <v>0</v>
      </c>
      <c r="E675" s="77">
        <f t="shared" si="50"/>
        <v>1</v>
      </c>
      <c r="F675" s="98"/>
      <c r="G675" s="98"/>
      <c r="H675" s="98"/>
      <c r="I675" s="109"/>
      <c r="J675" s="49"/>
    </row>
    <row r="676" spans="1:10" ht="25.5">
      <c r="A676" s="50" t="s">
        <v>565</v>
      </c>
      <c r="B676" s="98">
        <v>5</v>
      </c>
      <c r="C676" s="98">
        <v>5</v>
      </c>
      <c r="D676" s="98">
        <f t="shared" si="49"/>
        <v>0</v>
      </c>
      <c r="E676" s="77">
        <f t="shared" si="50"/>
        <v>1</v>
      </c>
      <c r="F676" s="98"/>
      <c r="G676" s="98"/>
      <c r="H676" s="98"/>
      <c r="I676" s="109"/>
      <c r="J676" s="49"/>
    </row>
    <row r="677" spans="1:10" ht="25.5">
      <c r="A677" s="50" t="s">
        <v>612</v>
      </c>
      <c r="B677" s="98">
        <v>8</v>
      </c>
      <c r="C677" s="98">
        <v>8</v>
      </c>
      <c r="D677" s="98">
        <f t="shared" si="49"/>
        <v>0</v>
      </c>
      <c r="E677" s="77">
        <f t="shared" si="50"/>
        <v>1</v>
      </c>
      <c r="F677" s="98"/>
      <c r="G677" s="98"/>
      <c r="H677" s="98"/>
      <c r="I677" s="109"/>
      <c r="J677" s="49"/>
    </row>
    <row r="678" spans="1:10" ht="63.75">
      <c r="A678" s="50" t="s">
        <v>614</v>
      </c>
      <c r="B678" s="98">
        <v>58</v>
      </c>
      <c r="C678" s="98">
        <v>58</v>
      </c>
      <c r="D678" s="98">
        <f t="shared" si="49"/>
        <v>0</v>
      </c>
      <c r="E678" s="77">
        <f t="shared" si="50"/>
        <v>1</v>
      </c>
      <c r="F678" s="98"/>
      <c r="G678" s="98"/>
      <c r="H678" s="98"/>
      <c r="I678" s="109"/>
      <c r="J678" s="49"/>
    </row>
    <row r="679" spans="1:10" ht="38.25">
      <c r="A679" s="50" t="s">
        <v>615</v>
      </c>
      <c r="B679" s="98">
        <v>2</v>
      </c>
      <c r="C679" s="98">
        <v>2</v>
      </c>
      <c r="D679" s="98">
        <f t="shared" si="49"/>
        <v>0</v>
      </c>
      <c r="E679" s="77">
        <f t="shared" si="50"/>
        <v>1</v>
      </c>
      <c r="F679" s="98"/>
      <c r="G679" s="98"/>
      <c r="H679" s="98"/>
      <c r="I679" s="109"/>
      <c r="J679" s="49"/>
    </row>
    <row r="680" spans="1:10" ht="63.75">
      <c r="A680" s="50" t="s">
        <v>616</v>
      </c>
      <c r="B680" s="98">
        <v>3</v>
      </c>
      <c r="C680" s="98">
        <v>3</v>
      </c>
      <c r="D680" s="98">
        <f t="shared" si="49"/>
        <v>0</v>
      </c>
      <c r="E680" s="77">
        <f t="shared" si="50"/>
        <v>1</v>
      </c>
      <c r="F680" s="98"/>
      <c r="G680" s="98"/>
      <c r="H680" s="98"/>
      <c r="I680" s="109"/>
      <c r="J680" s="49"/>
    </row>
    <row r="681" spans="1:10" ht="38.25">
      <c r="A681" s="50" t="s">
        <v>167</v>
      </c>
      <c r="B681" s="98">
        <v>20</v>
      </c>
      <c r="C681" s="98">
        <v>21</v>
      </c>
      <c r="D681" s="98">
        <f t="shared" si="49"/>
        <v>1</v>
      </c>
      <c r="E681" s="77">
        <f t="shared" si="50"/>
        <v>1.05</v>
      </c>
      <c r="F681" s="98"/>
      <c r="G681" s="98"/>
      <c r="H681" s="98"/>
      <c r="I681" s="109"/>
      <c r="J681" s="49"/>
    </row>
    <row r="682" spans="1:10" ht="38.25">
      <c r="A682" s="50" t="s">
        <v>168</v>
      </c>
      <c r="B682" s="98">
        <v>101</v>
      </c>
      <c r="C682" s="98">
        <v>101</v>
      </c>
      <c r="D682" s="98">
        <f t="shared" si="49"/>
        <v>0</v>
      </c>
      <c r="E682" s="77">
        <f t="shared" si="50"/>
        <v>1</v>
      </c>
      <c r="F682" s="98"/>
      <c r="G682" s="98"/>
      <c r="H682" s="98"/>
      <c r="I682" s="109"/>
      <c r="J682" s="49"/>
    </row>
    <row r="683" spans="1:10" ht="12.75">
      <c r="A683" s="2" t="s">
        <v>70</v>
      </c>
      <c r="B683" s="251">
        <f>SUM(B671:B682)</f>
        <v>239</v>
      </c>
      <c r="C683" s="251">
        <f>SUM(C671:C682)</f>
        <v>245</v>
      </c>
      <c r="D683" s="251">
        <f>C683-B683</f>
        <v>6</v>
      </c>
      <c r="E683" s="157">
        <f t="shared" si="50"/>
        <v>1.0251046025104602</v>
      </c>
      <c r="F683" s="80">
        <f>SUM(F667:F670)</f>
        <v>27744120.459999997</v>
      </c>
      <c r="G683" s="80">
        <f>SUM(G667:G670)</f>
        <v>27744120.459999997</v>
      </c>
      <c r="H683" s="79">
        <f>G683/F683</f>
        <v>1</v>
      </c>
      <c r="I683" s="79">
        <f>E683/H683</f>
        <v>1.0251046025104602</v>
      </c>
      <c r="J683" s="38"/>
    </row>
    <row r="684" spans="1:10" ht="12.75" customHeight="1">
      <c r="A684" s="511" t="s">
        <v>215</v>
      </c>
      <c r="B684" s="511"/>
      <c r="C684" s="511"/>
      <c r="D684" s="511"/>
      <c r="E684" s="511"/>
      <c r="F684" s="511"/>
      <c r="G684" s="511"/>
      <c r="H684" s="511"/>
      <c r="I684" s="511"/>
      <c r="J684" s="511"/>
    </row>
    <row r="685" spans="1:10" ht="25.5">
      <c r="A685" s="1" t="s">
        <v>402</v>
      </c>
      <c r="B685" s="116"/>
      <c r="C685" s="116"/>
      <c r="D685" s="116"/>
      <c r="E685" s="116"/>
      <c r="F685" s="87">
        <v>14000000</v>
      </c>
      <c r="G685" s="87">
        <v>14000000</v>
      </c>
      <c r="H685" s="82">
        <f>G685/F685</f>
        <v>1</v>
      </c>
      <c r="I685" s="116"/>
      <c r="J685" s="54"/>
    </row>
    <row r="686" spans="1:10" ht="38.25">
      <c r="A686" s="1" t="s">
        <v>172</v>
      </c>
      <c r="B686" s="88">
        <v>15</v>
      </c>
      <c r="C686" s="88">
        <v>15</v>
      </c>
      <c r="D686" s="81">
        <f>SUM(C686-B686)</f>
        <v>0</v>
      </c>
      <c r="E686" s="81">
        <f>SUM(C686/B686)</f>
        <v>1</v>
      </c>
      <c r="F686" s="426"/>
      <c r="G686" s="426"/>
      <c r="H686" s="116"/>
      <c r="I686" s="116"/>
      <c r="J686" s="54"/>
    </row>
    <row r="687" spans="1:10" ht="51">
      <c r="A687" s="1" t="s">
        <v>173</v>
      </c>
      <c r="B687" s="88">
        <v>80</v>
      </c>
      <c r="C687" s="88">
        <v>92</v>
      </c>
      <c r="D687" s="81">
        <f>SUM(C687-B687)</f>
        <v>12</v>
      </c>
      <c r="E687" s="81">
        <f>SUM(C687/B687)</f>
        <v>1.15</v>
      </c>
      <c r="F687" s="426"/>
      <c r="G687" s="426"/>
      <c r="H687" s="116"/>
      <c r="I687" s="116"/>
      <c r="J687" s="54"/>
    </row>
    <row r="688" spans="1:10" ht="12.75">
      <c r="A688" s="2" t="s">
        <v>34</v>
      </c>
      <c r="B688" s="247">
        <f>SUM(B686:B687)</f>
        <v>95</v>
      </c>
      <c r="C688" s="247">
        <f>SUM(C686:C687)</f>
        <v>107</v>
      </c>
      <c r="D688" s="251">
        <f>C688-B688</f>
        <v>12</v>
      </c>
      <c r="E688" s="157">
        <f>SUM(C688/B688)</f>
        <v>1.1263157894736842</v>
      </c>
      <c r="F688" s="368">
        <f>F685</f>
        <v>14000000</v>
      </c>
      <c r="G688" s="368">
        <f>G685</f>
        <v>14000000</v>
      </c>
      <c r="H688" s="79">
        <f>G688/F688</f>
        <v>1</v>
      </c>
      <c r="I688" s="79">
        <f>E688/H688</f>
        <v>1.1263157894736842</v>
      </c>
      <c r="J688" s="54"/>
    </row>
    <row r="689" spans="1:10" ht="12.75">
      <c r="A689" s="287" t="s">
        <v>180</v>
      </c>
      <c r="B689" s="302">
        <f>B665+B683+B688</f>
        <v>56743.84</v>
      </c>
      <c r="C689" s="302">
        <f>C665+C683+C688</f>
        <v>56761.84</v>
      </c>
      <c r="D689" s="302">
        <f>C689-B689</f>
        <v>18</v>
      </c>
      <c r="E689" s="292">
        <f>(E665+E683+E688)/3</f>
        <v>1.0504734639947146</v>
      </c>
      <c r="F689" s="291">
        <f>F683+F665+F688</f>
        <v>53694351.66</v>
      </c>
      <c r="G689" s="291">
        <f>G683+G665+G688</f>
        <v>53694351.66</v>
      </c>
      <c r="H689" s="292">
        <f>G689/F689</f>
        <v>1</v>
      </c>
      <c r="I689" s="292">
        <f>E689/H689</f>
        <v>1.0504734639947146</v>
      </c>
      <c r="J689" s="292"/>
    </row>
    <row r="690" spans="1:10" ht="25.5">
      <c r="A690" s="1" t="s">
        <v>101</v>
      </c>
      <c r="B690" s="100"/>
      <c r="C690" s="100"/>
      <c r="D690" s="100"/>
      <c r="E690" s="77"/>
      <c r="F690" s="98">
        <f>F689/F809</f>
        <v>0.02190253140362771</v>
      </c>
      <c r="G690" s="98">
        <f>G689/G809</f>
        <v>0.022733238393145255</v>
      </c>
      <c r="H690" s="80"/>
      <c r="I690" s="79"/>
      <c r="J690" s="38"/>
    </row>
    <row r="691" spans="1:10" ht="18.75" customHeight="1">
      <c r="A691" s="520" t="s">
        <v>370</v>
      </c>
      <c r="B691" s="520"/>
      <c r="C691" s="520"/>
      <c r="D691" s="520"/>
      <c r="E691" s="520"/>
      <c r="F691" s="520"/>
      <c r="G691" s="520"/>
      <c r="H691" s="520"/>
      <c r="I691" s="520"/>
      <c r="J691" s="520"/>
    </row>
    <row r="692" spans="1:10" ht="12.75" customHeight="1">
      <c r="A692" s="509" t="s">
        <v>261</v>
      </c>
      <c r="B692" s="509"/>
      <c r="C692" s="509"/>
      <c r="D692" s="509"/>
      <c r="E692" s="509"/>
      <c r="F692" s="509"/>
      <c r="G692" s="509"/>
      <c r="H692" s="509"/>
      <c r="I692" s="509"/>
      <c r="J692" s="509"/>
    </row>
    <row r="693" spans="1:10" ht="12.75">
      <c r="A693" s="504" t="s">
        <v>196</v>
      </c>
      <c r="B693" s="504"/>
      <c r="C693" s="504"/>
      <c r="D693" s="504"/>
      <c r="E693" s="504"/>
      <c r="F693" s="504"/>
      <c r="G693" s="504"/>
      <c r="H693" s="504"/>
      <c r="I693" s="504"/>
      <c r="J693" s="504"/>
    </row>
    <row r="694" spans="1:10" ht="13.5">
      <c r="A694" s="512" t="s">
        <v>371</v>
      </c>
      <c r="B694" s="512"/>
      <c r="C694" s="512"/>
      <c r="D694" s="512"/>
      <c r="E694" s="512"/>
      <c r="F694" s="512"/>
      <c r="G694" s="512"/>
      <c r="H694" s="512"/>
      <c r="I694" s="512"/>
      <c r="J694" s="512"/>
    </row>
    <row r="695" spans="1:10" ht="38.25">
      <c r="A695" s="50" t="s">
        <v>133</v>
      </c>
      <c r="B695" s="172">
        <v>41</v>
      </c>
      <c r="C695" s="172">
        <v>48</v>
      </c>
      <c r="D695" s="172">
        <f>C695-B695</f>
        <v>7</v>
      </c>
      <c r="E695" s="195">
        <f>C695/B695</f>
        <v>1.170731707317073</v>
      </c>
      <c r="F695" s="191">
        <f>5047504+622152+2295765+75864</f>
        <v>8041285</v>
      </c>
      <c r="G695" s="193">
        <f>75064.49+2279562.31+617312.02+5004298.59</f>
        <v>7976237.41</v>
      </c>
      <c r="H695" s="195">
        <f>G695/F695</f>
        <v>0.9919107965953203</v>
      </c>
      <c r="I695" s="192"/>
      <c r="J695" s="194"/>
    </row>
    <row r="696" spans="1:10" ht="51">
      <c r="A696" s="50" t="s">
        <v>372</v>
      </c>
      <c r="B696" s="172">
        <v>67</v>
      </c>
      <c r="C696" s="172">
        <v>67</v>
      </c>
      <c r="D696" s="172">
        <f aca="true" t="shared" si="51" ref="D696:D701">C696-B696</f>
        <v>0</v>
      </c>
      <c r="E696" s="195">
        <f aca="true" t="shared" si="52" ref="E696:E701">C696/B696</f>
        <v>1</v>
      </c>
      <c r="F696" s="191">
        <f>102661+6862454</f>
        <v>6965115</v>
      </c>
      <c r="G696" s="193">
        <f>101090.09+6738834.93</f>
        <v>6839925.02</v>
      </c>
      <c r="H696" s="195">
        <f aca="true" t="shared" si="53" ref="H696:H701">G696/F696</f>
        <v>0.9820261431433651</v>
      </c>
      <c r="I696" s="192"/>
      <c r="J696" s="194"/>
    </row>
    <row r="697" spans="1:10" ht="25.5">
      <c r="A697" s="50" t="s">
        <v>373</v>
      </c>
      <c r="B697" s="172">
        <v>460</v>
      </c>
      <c r="C697" s="172">
        <v>368</v>
      </c>
      <c r="D697" s="172">
        <f t="shared" si="51"/>
        <v>-92</v>
      </c>
      <c r="E697" s="195">
        <f t="shared" si="52"/>
        <v>0.8</v>
      </c>
      <c r="F697" s="191">
        <v>1507200</v>
      </c>
      <c r="G697" s="193">
        <v>1031187.2</v>
      </c>
      <c r="H697" s="195">
        <f t="shared" si="53"/>
        <v>0.6841740976645435</v>
      </c>
      <c r="I697" s="192"/>
      <c r="J697" s="264" t="s">
        <v>374</v>
      </c>
    </row>
    <row r="698" spans="1:10" ht="25.5">
      <c r="A698" s="50" t="s">
        <v>134</v>
      </c>
      <c r="B698" s="172">
        <v>982</v>
      </c>
      <c r="C698" s="172">
        <v>982</v>
      </c>
      <c r="D698" s="172">
        <f t="shared" si="51"/>
        <v>0</v>
      </c>
      <c r="E698" s="195">
        <f t="shared" si="52"/>
        <v>1</v>
      </c>
      <c r="F698" s="191">
        <v>5588600</v>
      </c>
      <c r="G698" s="193">
        <v>5417117.5</v>
      </c>
      <c r="H698" s="195">
        <f t="shared" si="53"/>
        <v>0.9693156604516336</v>
      </c>
      <c r="I698" s="192"/>
      <c r="J698" s="265" t="s">
        <v>374</v>
      </c>
    </row>
    <row r="699" spans="1:10" ht="51">
      <c r="A699" s="50" t="s">
        <v>375</v>
      </c>
      <c r="B699" s="172">
        <v>368</v>
      </c>
      <c r="C699" s="172">
        <v>368</v>
      </c>
      <c r="D699" s="172">
        <f t="shared" si="51"/>
        <v>0</v>
      </c>
      <c r="E699" s="195">
        <f t="shared" si="52"/>
        <v>1</v>
      </c>
      <c r="F699" s="191"/>
      <c r="G699" s="193"/>
      <c r="H699" s="195"/>
      <c r="I699" s="192"/>
      <c r="J699" s="194"/>
    </row>
    <row r="700" spans="1:10" ht="76.5">
      <c r="A700" s="50" t="s">
        <v>376</v>
      </c>
      <c r="B700" s="172">
        <v>179</v>
      </c>
      <c r="C700" s="172">
        <v>179</v>
      </c>
      <c r="D700" s="172">
        <f t="shared" si="51"/>
        <v>0</v>
      </c>
      <c r="E700" s="195">
        <f t="shared" si="52"/>
        <v>1</v>
      </c>
      <c r="F700" s="191">
        <v>12086300</v>
      </c>
      <c r="G700" s="193">
        <v>11731159.01</v>
      </c>
      <c r="H700" s="195">
        <f t="shared" si="53"/>
        <v>0.9706162357379843</v>
      </c>
      <c r="I700" s="192"/>
      <c r="J700" s="194"/>
    </row>
    <row r="701" spans="1:10" ht="25.5">
      <c r="A701" s="50" t="s">
        <v>377</v>
      </c>
      <c r="B701" s="172">
        <v>129</v>
      </c>
      <c r="C701" s="172">
        <v>129</v>
      </c>
      <c r="D701" s="172">
        <f t="shared" si="51"/>
        <v>0</v>
      </c>
      <c r="E701" s="195">
        <f t="shared" si="52"/>
        <v>1</v>
      </c>
      <c r="F701" s="191">
        <v>1867700</v>
      </c>
      <c r="G701" s="193">
        <v>1867700</v>
      </c>
      <c r="H701" s="195">
        <f t="shared" si="53"/>
        <v>1</v>
      </c>
      <c r="I701" s="192"/>
      <c r="J701" s="194"/>
    </row>
    <row r="702" spans="1:10" ht="12.75">
      <c r="A702" s="253" t="s">
        <v>727</v>
      </c>
      <c r="B702" s="254">
        <f>B695+B696+B697+B698+B700+B701</f>
        <v>1858</v>
      </c>
      <c r="C702" s="254">
        <f>C695+C696+C697+C698+C700+C701</f>
        <v>1773</v>
      </c>
      <c r="D702" s="255">
        <f>C702-B702</f>
        <v>-85</v>
      </c>
      <c r="E702" s="256">
        <f>(E695+E696+E697+E698+E699+E700+E701)/7</f>
        <v>0.9958188153310105</v>
      </c>
      <c r="F702" s="254">
        <f>F695+F696+F697+F698+F700+F701</f>
        <v>36056200</v>
      </c>
      <c r="G702" s="254">
        <f>G695+G696+G697+G698+G700+G701</f>
        <v>34863326.14</v>
      </c>
      <c r="H702" s="273">
        <f>(H695+H696+H697+H698+H700+H701)/6</f>
        <v>0.9330071555988079</v>
      </c>
      <c r="I702" s="256">
        <f>E702/H702</f>
        <v>1.0673217341960146</v>
      </c>
      <c r="J702" s="271"/>
    </row>
    <row r="703" spans="1:10" ht="25.5">
      <c r="A703" s="102" t="s">
        <v>270</v>
      </c>
      <c r="B703" s="269"/>
      <c r="C703" s="269"/>
      <c r="D703" s="269"/>
      <c r="E703" s="269"/>
      <c r="F703" s="270">
        <f>F702/F809</f>
        <v>0.014707730485249359</v>
      </c>
      <c r="G703" s="270">
        <f>G702/G809</f>
        <v>0.01476051539530951</v>
      </c>
      <c r="H703" s="269"/>
      <c r="I703" s="269"/>
      <c r="J703" s="271"/>
    </row>
    <row r="704" spans="1:10" ht="12.75">
      <c r="A704" s="513" t="s">
        <v>378</v>
      </c>
      <c r="B704" s="513"/>
      <c r="C704" s="513"/>
      <c r="D704" s="513"/>
      <c r="E704" s="513"/>
      <c r="F704" s="513"/>
      <c r="G704" s="513"/>
      <c r="H704" s="513"/>
      <c r="I704" s="513"/>
      <c r="J704" s="513"/>
    </row>
    <row r="705" spans="1:10" ht="25.5">
      <c r="A705" s="50" t="s">
        <v>379</v>
      </c>
      <c r="B705" s="172">
        <v>1</v>
      </c>
      <c r="C705" s="172">
        <v>1</v>
      </c>
      <c r="D705" s="172">
        <v>0</v>
      </c>
      <c r="E705" s="195">
        <f>C705/B705</f>
        <v>1</v>
      </c>
      <c r="F705" s="191">
        <v>16558520</v>
      </c>
      <c r="G705" s="193">
        <v>16558520</v>
      </c>
      <c r="H705" s="195">
        <f>G705/F705</f>
        <v>1</v>
      </c>
      <c r="I705" s="192"/>
      <c r="J705" s="194"/>
    </row>
    <row r="706" spans="1:10" ht="12.75">
      <c r="A706" s="253" t="s">
        <v>324</v>
      </c>
      <c r="B706" s="272">
        <f aca="true" t="shared" si="54" ref="B706:G706">B705</f>
        <v>1</v>
      </c>
      <c r="C706" s="272">
        <f t="shared" si="54"/>
        <v>1</v>
      </c>
      <c r="D706" s="272">
        <f t="shared" si="54"/>
        <v>0</v>
      </c>
      <c r="E706" s="256">
        <f t="shared" si="54"/>
        <v>1</v>
      </c>
      <c r="F706" s="254">
        <f t="shared" si="54"/>
        <v>16558520</v>
      </c>
      <c r="G706" s="254">
        <f t="shared" si="54"/>
        <v>16558520</v>
      </c>
      <c r="H706" s="256">
        <f>G706/F706</f>
        <v>1</v>
      </c>
      <c r="I706" s="257"/>
      <c r="J706" s="271"/>
    </row>
    <row r="707" spans="1:10" ht="25.5">
      <c r="A707" s="102" t="s">
        <v>270</v>
      </c>
      <c r="B707" s="271"/>
      <c r="C707" s="271"/>
      <c r="D707" s="271"/>
      <c r="E707" s="269"/>
      <c r="F707" s="270">
        <f>F706/F809</f>
        <v>0.006754406992267937</v>
      </c>
      <c r="G707" s="270">
        <f>G706/G809</f>
        <v>0.0070105843717280045</v>
      </c>
      <c r="H707" s="271"/>
      <c r="I707" s="271"/>
      <c r="J707" s="271"/>
    </row>
    <row r="708" spans="1:10" ht="12.75">
      <c r="A708" s="513" t="s">
        <v>380</v>
      </c>
      <c r="B708" s="513"/>
      <c r="C708" s="513"/>
      <c r="D708" s="513"/>
      <c r="E708" s="513"/>
      <c r="F708" s="513"/>
      <c r="G708" s="513"/>
      <c r="H708" s="513"/>
      <c r="I708" s="513"/>
      <c r="J708" s="513"/>
    </row>
    <row r="709" spans="1:10" ht="12.75">
      <c r="A709" s="50" t="s">
        <v>381</v>
      </c>
      <c r="B709" s="172">
        <v>10068</v>
      </c>
      <c r="C709" s="172">
        <v>10068</v>
      </c>
      <c r="D709" s="172">
        <f>C709-B709</f>
        <v>0</v>
      </c>
      <c r="E709" s="195">
        <f>C709/B709</f>
        <v>1</v>
      </c>
      <c r="F709" s="191">
        <f>1083900+18500+5810800+1255100+161568000</f>
        <v>169736300</v>
      </c>
      <c r="G709" s="193">
        <f>161364584.09+1231834.37+5776814.65+18391.81+914308.81</f>
        <v>169305933.73000002</v>
      </c>
      <c r="H709" s="195">
        <f aca="true" t="shared" si="55" ref="H709:H717">G709/F709</f>
        <v>0.9974645006990256</v>
      </c>
      <c r="I709" s="192"/>
      <c r="J709" s="194"/>
    </row>
    <row r="710" spans="1:10" ht="63.75">
      <c r="A710" s="50" t="s">
        <v>58</v>
      </c>
      <c r="B710" s="172">
        <v>32</v>
      </c>
      <c r="C710" s="172">
        <v>14</v>
      </c>
      <c r="D710" s="172">
        <f>C710-B710</f>
        <v>-18</v>
      </c>
      <c r="E710" s="195">
        <f>C710/B710</f>
        <v>0.4375</v>
      </c>
      <c r="F710" s="191">
        <f>192700+39900+187200</f>
        <v>419800</v>
      </c>
      <c r="G710" s="193">
        <f>114694.5+38648.8</f>
        <v>153343.3</v>
      </c>
      <c r="H710" s="195">
        <f t="shared" si="55"/>
        <v>0.36527703668413525</v>
      </c>
      <c r="I710" s="192"/>
      <c r="J710" s="194"/>
    </row>
    <row r="711" spans="1:10" ht="25.5">
      <c r="A711" s="50" t="s">
        <v>382</v>
      </c>
      <c r="B711" s="172">
        <v>3330</v>
      </c>
      <c r="C711" s="172">
        <v>3283</v>
      </c>
      <c r="D711" s="172">
        <f aca="true" t="shared" si="56" ref="D711:D717">C711-B711</f>
        <v>-47</v>
      </c>
      <c r="E711" s="195">
        <f>C711/B711</f>
        <v>0.9858858858858859</v>
      </c>
      <c r="F711" s="191">
        <v>52636200</v>
      </c>
      <c r="G711" s="193">
        <v>32991005.71</v>
      </c>
      <c r="H711" s="195">
        <f t="shared" si="55"/>
        <v>0.6267740777259757</v>
      </c>
      <c r="I711" s="192"/>
      <c r="J711" s="265" t="s">
        <v>374</v>
      </c>
    </row>
    <row r="712" spans="1:10" ht="25.5">
      <c r="A712" s="50" t="s">
        <v>383</v>
      </c>
      <c r="B712" s="172">
        <v>29</v>
      </c>
      <c r="C712" s="172">
        <v>28</v>
      </c>
      <c r="D712" s="172">
        <f t="shared" si="56"/>
        <v>-1</v>
      </c>
      <c r="E712" s="195">
        <f aca="true" t="shared" si="57" ref="E712:E717">C712/B712</f>
        <v>0.9655172413793104</v>
      </c>
      <c r="F712" s="191">
        <v>251800</v>
      </c>
      <c r="G712" s="193">
        <v>210660.33</v>
      </c>
      <c r="H712" s="195">
        <f t="shared" si="55"/>
        <v>0.8366176727561556</v>
      </c>
      <c r="I712" s="192"/>
      <c r="J712" s="265" t="s">
        <v>374</v>
      </c>
    </row>
    <row r="713" spans="1:10" ht="25.5">
      <c r="A713" s="50" t="s">
        <v>384</v>
      </c>
      <c r="B713" s="172">
        <v>276</v>
      </c>
      <c r="C713" s="172">
        <v>248</v>
      </c>
      <c r="D713" s="172">
        <f t="shared" si="56"/>
        <v>-28</v>
      </c>
      <c r="E713" s="195">
        <f t="shared" si="57"/>
        <v>0.8985507246376812</v>
      </c>
      <c r="F713" s="191">
        <v>3132200</v>
      </c>
      <c r="G713" s="193">
        <v>2772319.23</v>
      </c>
      <c r="H713" s="195">
        <f t="shared" si="55"/>
        <v>0.8851028765723772</v>
      </c>
      <c r="I713" s="192"/>
      <c r="J713" s="265" t="s">
        <v>374</v>
      </c>
    </row>
    <row r="714" spans="1:10" ht="38.25">
      <c r="A714" s="50" t="s">
        <v>59</v>
      </c>
      <c r="B714" s="172">
        <v>301</v>
      </c>
      <c r="C714" s="172">
        <v>301</v>
      </c>
      <c r="D714" s="172">
        <f t="shared" si="56"/>
        <v>0</v>
      </c>
      <c r="E714" s="195">
        <f t="shared" si="57"/>
        <v>1</v>
      </c>
      <c r="F714" s="191">
        <v>4320600</v>
      </c>
      <c r="G714" s="193">
        <v>4349198.1</v>
      </c>
      <c r="H714" s="195">
        <f t="shared" si="55"/>
        <v>1.0066190112484377</v>
      </c>
      <c r="I714" s="192"/>
      <c r="J714" s="194"/>
    </row>
    <row r="715" spans="1:10" ht="40.5" customHeight="1">
      <c r="A715" s="510" t="s">
        <v>385</v>
      </c>
      <c r="B715" s="514">
        <v>2360</v>
      </c>
      <c r="C715" s="514">
        <v>2360</v>
      </c>
      <c r="D715" s="514">
        <f t="shared" si="56"/>
        <v>0</v>
      </c>
      <c r="E715" s="518">
        <f t="shared" si="57"/>
        <v>1</v>
      </c>
      <c r="F715" s="191">
        <f>2274200+1068200</f>
        <v>3342400</v>
      </c>
      <c r="G715" s="193">
        <f>2238051.56+1068199.98</f>
        <v>3306251.54</v>
      </c>
      <c r="H715" s="195">
        <f t="shared" si="55"/>
        <v>0.9891848791287697</v>
      </c>
      <c r="I715" s="192"/>
      <c r="J715" s="194"/>
    </row>
    <row r="716" spans="1:10" ht="12.75">
      <c r="A716" s="510"/>
      <c r="B716" s="514"/>
      <c r="C716" s="514"/>
      <c r="D716" s="514"/>
      <c r="E716" s="518"/>
      <c r="F716" s="191">
        <v>4553900</v>
      </c>
      <c r="G716" s="193">
        <v>4553891.71</v>
      </c>
      <c r="H716" s="195">
        <f t="shared" si="55"/>
        <v>0.999998179582336</v>
      </c>
      <c r="I716" s="192"/>
      <c r="J716" s="194"/>
    </row>
    <row r="717" spans="1:10" ht="25.5">
      <c r="A717" s="50" t="s">
        <v>386</v>
      </c>
      <c r="B717" s="172">
        <v>310</v>
      </c>
      <c r="C717" s="172">
        <v>284</v>
      </c>
      <c r="D717" s="172">
        <f t="shared" si="56"/>
        <v>-26</v>
      </c>
      <c r="E717" s="195">
        <f t="shared" si="57"/>
        <v>0.9161290322580645</v>
      </c>
      <c r="F717" s="191">
        <v>3254200</v>
      </c>
      <c r="G717" s="193">
        <v>3225029.85</v>
      </c>
      <c r="H717" s="195">
        <f t="shared" si="55"/>
        <v>0.9910361532788396</v>
      </c>
      <c r="I717" s="192"/>
      <c r="J717" s="194"/>
    </row>
    <row r="718" spans="1:10" ht="12.75">
      <c r="A718" s="253" t="s">
        <v>387</v>
      </c>
      <c r="B718" s="272">
        <f>SUM(B709:B717)</f>
        <v>16706</v>
      </c>
      <c r="C718" s="272">
        <f>SUM(C709:C717)</f>
        <v>16586</v>
      </c>
      <c r="D718" s="272">
        <f>C718-B718</f>
        <v>-120</v>
      </c>
      <c r="E718" s="256">
        <f>(E709+E710+E711+E712+E713+E714+E715+E717)/8</f>
        <v>0.9004478605201178</v>
      </c>
      <c r="F718" s="254">
        <f>SUM(F709:F717)</f>
        <v>241647400</v>
      </c>
      <c r="G718" s="254">
        <f>SUM(G709:G717)</f>
        <v>220867633.50000003</v>
      </c>
      <c r="H718" s="256">
        <f>(H709+H710+H711+H712+H714+H715+H716+H717)/9</f>
        <v>0.756996834567075</v>
      </c>
      <c r="I718" s="273">
        <f>E718/H718</f>
        <v>1.1895001661864044</v>
      </c>
      <c r="J718" s="271"/>
    </row>
    <row r="719" spans="1:10" ht="25.5">
      <c r="A719" s="102" t="s">
        <v>270</v>
      </c>
      <c r="B719" s="269"/>
      <c r="C719" s="269"/>
      <c r="D719" s="269"/>
      <c r="E719" s="269"/>
      <c r="F719" s="270">
        <f>F718/F809</f>
        <v>0.09857069884406137</v>
      </c>
      <c r="G719" s="270">
        <f>G718/G809</f>
        <v>0.09351144786101952</v>
      </c>
      <c r="H719" s="269"/>
      <c r="I719" s="271"/>
      <c r="J719" s="271"/>
    </row>
    <row r="720" spans="1:10" ht="13.5" customHeight="1">
      <c r="A720" s="515" t="s">
        <v>388</v>
      </c>
      <c r="B720" s="515"/>
      <c r="C720" s="515"/>
      <c r="D720" s="515"/>
      <c r="E720" s="515"/>
      <c r="F720" s="515"/>
      <c r="G720" s="515"/>
      <c r="H720" s="515"/>
      <c r="I720" s="515"/>
      <c r="J720" s="515"/>
    </row>
    <row r="721" spans="1:10" ht="38.25">
      <c r="A721" s="50" t="s">
        <v>389</v>
      </c>
      <c r="B721" s="172">
        <v>1604</v>
      </c>
      <c r="C721" s="172">
        <v>1605</v>
      </c>
      <c r="D721" s="172">
        <f>C721-B721</f>
        <v>1</v>
      </c>
      <c r="E721" s="195">
        <f>C721/B721</f>
        <v>1.0006234413965087</v>
      </c>
      <c r="F721" s="191">
        <v>12870700</v>
      </c>
      <c r="G721" s="193">
        <v>12673913</v>
      </c>
      <c r="H721" s="195">
        <f>G721/F721</f>
        <v>0.9847104664081985</v>
      </c>
      <c r="I721" s="192"/>
      <c r="J721" s="194"/>
    </row>
    <row r="722" spans="1:10" ht="12.75">
      <c r="A722" s="274" t="s">
        <v>390</v>
      </c>
      <c r="B722" s="272">
        <f>B721</f>
        <v>1604</v>
      </c>
      <c r="C722" s="272">
        <f>C721</f>
        <v>1605</v>
      </c>
      <c r="D722" s="272">
        <f>C722-B722</f>
        <v>1</v>
      </c>
      <c r="E722" s="256">
        <f>C722/B722</f>
        <v>1.0006234413965087</v>
      </c>
      <c r="F722" s="254">
        <f>F721</f>
        <v>12870700</v>
      </c>
      <c r="G722" s="254">
        <f>G721</f>
        <v>12673913</v>
      </c>
      <c r="H722" s="256">
        <f>G722/F722</f>
        <v>0.9847104664081985</v>
      </c>
      <c r="I722" s="256">
        <f>E722/H722</f>
        <v>1.016160054687297</v>
      </c>
      <c r="J722" s="194"/>
    </row>
    <row r="723" spans="1:10" ht="25.5">
      <c r="A723" s="102" t="s">
        <v>270</v>
      </c>
      <c r="B723" s="269"/>
      <c r="C723" s="269"/>
      <c r="D723" s="269"/>
      <c r="E723" s="269"/>
      <c r="F723" s="270">
        <f>F722/F809</f>
        <v>0.00525010363700276</v>
      </c>
      <c r="G723" s="270">
        <f>G722/G809</f>
        <v>0.005365910504467814</v>
      </c>
      <c r="H723" s="269"/>
      <c r="I723" s="269"/>
      <c r="J723" s="194"/>
    </row>
    <row r="724" spans="1:10" ht="31.5" customHeight="1">
      <c r="A724" s="517" t="s">
        <v>582</v>
      </c>
      <c r="B724" s="517"/>
      <c r="C724" s="517"/>
      <c r="D724" s="517"/>
      <c r="E724" s="517"/>
      <c r="F724" s="517"/>
      <c r="G724" s="517"/>
      <c r="H724" s="517"/>
      <c r="I724" s="517"/>
      <c r="J724" s="517"/>
    </row>
    <row r="725" spans="1:10" ht="63.75">
      <c r="A725" s="50" t="s">
        <v>391</v>
      </c>
      <c r="B725" s="172">
        <v>1</v>
      </c>
      <c r="C725" s="172">
        <v>1</v>
      </c>
      <c r="D725" s="172">
        <f>C725-B725</f>
        <v>0</v>
      </c>
      <c r="E725" s="195">
        <f>C725/B725</f>
        <v>1</v>
      </c>
      <c r="F725" s="193">
        <f>3151500+3265700+11857700</f>
        <v>18274900</v>
      </c>
      <c r="G725" s="193">
        <f>11853469.55+3260866.22+3146015.43</f>
        <v>18260351.200000003</v>
      </c>
      <c r="H725" s="270">
        <f>G725/F725</f>
        <v>0.999203891676562</v>
      </c>
      <c r="I725" s="192"/>
      <c r="J725" s="194"/>
    </row>
    <row r="726" spans="1:10" ht="12.75">
      <c r="A726" s="253" t="s">
        <v>392</v>
      </c>
      <c r="B726" s="272">
        <f aca="true" t="shared" si="58" ref="B726:G726">B725</f>
        <v>1</v>
      </c>
      <c r="C726" s="272">
        <f t="shared" si="58"/>
        <v>1</v>
      </c>
      <c r="D726" s="272">
        <f t="shared" si="58"/>
        <v>0</v>
      </c>
      <c r="E726" s="256">
        <f t="shared" si="58"/>
        <v>1</v>
      </c>
      <c r="F726" s="245">
        <f t="shared" si="58"/>
        <v>18274900</v>
      </c>
      <c r="G726" s="245">
        <f t="shared" si="58"/>
        <v>18260351.200000003</v>
      </c>
      <c r="H726" s="224">
        <f>G726/F726</f>
        <v>0.999203891676562</v>
      </c>
      <c r="I726" s="429">
        <f>E726/H726</f>
        <v>1.000796742616867</v>
      </c>
      <c r="J726" s="194"/>
    </row>
    <row r="727" spans="1:10" ht="25.5">
      <c r="A727" s="102" t="s">
        <v>270</v>
      </c>
      <c r="B727" s="275"/>
      <c r="C727" s="275"/>
      <c r="D727" s="275"/>
      <c r="E727" s="428"/>
      <c r="F727" s="270">
        <f>F726/F809</f>
        <v>0.007454537745100246</v>
      </c>
      <c r="G727" s="270">
        <f>G726/G809</f>
        <v>0.007731109588597576</v>
      </c>
      <c r="H727" s="427"/>
      <c r="I727" s="395"/>
      <c r="J727" s="395"/>
    </row>
    <row r="728" spans="1:10" ht="13.5">
      <c r="A728" s="253" t="s">
        <v>648</v>
      </c>
      <c r="B728" s="342">
        <f>B702+B706+B718+B722+B726</f>
        <v>20170</v>
      </c>
      <c r="C728" s="342">
        <f>C702+C706+C718+C722+C726</f>
        <v>19966</v>
      </c>
      <c r="D728" s="272">
        <f>C728-B728</f>
        <v>-204</v>
      </c>
      <c r="E728" s="431">
        <f>(E702+E706+E718+E722+E726)/5</f>
        <v>0.9793780234495275</v>
      </c>
      <c r="F728" s="343">
        <f>F702+F706+F718+F722+F726</f>
        <v>325407720</v>
      </c>
      <c r="G728" s="343">
        <f>G702+G706+G718+G722</f>
        <v>284963392.64000005</v>
      </c>
      <c r="H728" s="433">
        <f>(H702+H706+H718+H722+H726)/5</f>
        <v>0.9347836696501286</v>
      </c>
      <c r="I728" s="256">
        <f>E728/H728</f>
        <v>1.0477055336408365</v>
      </c>
      <c r="J728" s="395"/>
    </row>
    <row r="729" spans="1:10" ht="80.25" customHeight="1">
      <c r="A729" s="185" t="s">
        <v>393</v>
      </c>
      <c r="B729" s="165">
        <v>99.8</v>
      </c>
      <c r="C729" s="186">
        <v>100</v>
      </c>
      <c r="D729" s="172">
        <f aca="true" t="shared" si="59" ref="D729:D736">C729-B729</f>
        <v>0.20000000000000284</v>
      </c>
      <c r="E729" s="195">
        <f aca="true" t="shared" si="60" ref="E729:E734">C729/B729</f>
        <v>1.0020040080160322</v>
      </c>
      <c r="F729" s="187"/>
      <c r="G729" s="187"/>
      <c r="H729" s="188"/>
      <c r="I729" s="189"/>
      <c r="J729" s="190"/>
    </row>
    <row r="730" spans="1:10" ht="63.75">
      <c r="A730" s="185" t="s">
        <v>394</v>
      </c>
      <c r="B730" s="165">
        <v>99.8</v>
      </c>
      <c r="C730" s="186">
        <v>100</v>
      </c>
      <c r="D730" s="172">
        <f t="shared" si="59"/>
        <v>0.20000000000000284</v>
      </c>
      <c r="E730" s="195">
        <f t="shared" si="60"/>
        <v>1.0020040080160322</v>
      </c>
      <c r="F730" s="187"/>
      <c r="G730" s="187"/>
      <c r="H730" s="188"/>
      <c r="I730" s="189"/>
      <c r="J730" s="190"/>
    </row>
    <row r="731" spans="1:10" ht="51">
      <c r="A731" s="185" t="s">
        <v>395</v>
      </c>
      <c r="B731" s="186">
        <v>98</v>
      </c>
      <c r="C731" s="186">
        <v>100</v>
      </c>
      <c r="D731" s="172">
        <f t="shared" si="59"/>
        <v>2</v>
      </c>
      <c r="E731" s="195">
        <f t="shared" si="60"/>
        <v>1.0204081632653061</v>
      </c>
      <c r="F731" s="187"/>
      <c r="G731" s="187"/>
      <c r="H731" s="188"/>
      <c r="I731" s="189"/>
      <c r="J731" s="190"/>
    </row>
    <row r="732" spans="1:10" ht="141.75">
      <c r="A732" s="185" t="s">
        <v>396</v>
      </c>
      <c r="B732" s="186">
        <v>100</v>
      </c>
      <c r="C732" s="186">
        <v>100</v>
      </c>
      <c r="D732" s="172">
        <f t="shared" si="59"/>
        <v>0</v>
      </c>
      <c r="E732" s="195">
        <f t="shared" si="60"/>
        <v>1</v>
      </c>
      <c r="F732" s="187"/>
      <c r="G732" s="187"/>
      <c r="H732" s="188"/>
      <c r="I732" s="189"/>
      <c r="J732" s="190"/>
    </row>
    <row r="733" spans="1:10" ht="63.75">
      <c r="A733" s="185" t="s">
        <v>397</v>
      </c>
      <c r="B733" s="186">
        <v>95</v>
      </c>
      <c r="C733" s="186">
        <v>95</v>
      </c>
      <c r="D733" s="172">
        <f t="shared" si="59"/>
        <v>0</v>
      </c>
      <c r="E733" s="195">
        <f t="shared" si="60"/>
        <v>1</v>
      </c>
      <c r="F733" s="187"/>
      <c r="G733" s="187"/>
      <c r="H733" s="188"/>
      <c r="I733" s="189"/>
      <c r="J733" s="190"/>
    </row>
    <row r="734" spans="1:10" ht="102">
      <c r="A734" s="185" t="s">
        <v>398</v>
      </c>
      <c r="B734" s="186">
        <v>100</v>
      </c>
      <c r="C734" s="186">
        <v>100</v>
      </c>
      <c r="D734" s="172">
        <f t="shared" si="59"/>
        <v>0</v>
      </c>
      <c r="E734" s="195">
        <f t="shared" si="60"/>
        <v>1</v>
      </c>
      <c r="F734" s="187"/>
      <c r="G734" s="187"/>
      <c r="H734" s="188"/>
      <c r="I734" s="189"/>
      <c r="J734" s="190"/>
    </row>
    <row r="735" spans="1:10" ht="102">
      <c r="A735" s="185" t="s">
        <v>399</v>
      </c>
      <c r="B735" s="186" t="s">
        <v>400</v>
      </c>
      <c r="C735" s="186">
        <v>0</v>
      </c>
      <c r="D735" s="172">
        <v>0</v>
      </c>
      <c r="E735" s="195">
        <v>1</v>
      </c>
      <c r="F735" s="187"/>
      <c r="G735" s="187"/>
      <c r="H735" s="188"/>
      <c r="I735" s="189"/>
      <c r="J735" s="190"/>
    </row>
    <row r="736" spans="1:10" ht="127.5">
      <c r="A736" s="185" t="s">
        <v>327</v>
      </c>
      <c r="B736" s="186">
        <v>95</v>
      </c>
      <c r="C736" s="186">
        <v>93</v>
      </c>
      <c r="D736" s="172">
        <f t="shared" si="59"/>
        <v>-2</v>
      </c>
      <c r="E736" s="195">
        <v>1</v>
      </c>
      <c r="F736" s="187"/>
      <c r="G736" s="187"/>
      <c r="H736" s="188"/>
      <c r="I736" s="189"/>
      <c r="J736" s="190"/>
    </row>
    <row r="737" spans="1:10" ht="12.75">
      <c r="A737" s="303" t="s">
        <v>714</v>
      </c>
      <c r="B737" s="430">
        <f>SUM(B729:B736)+B728</f>
        <v>20857.6</v>
      </c>
      <c r="C737" s="430">
        <f>SUM(C729:C736)+C728</f>
        <v>20654</v>
      </c>
      <c r="D737" s="430">
        <f>C737-B737</f>
        <v>-203.59999999999854</v>
      </c>
      <c r="E737" s="432">
        <f>((SUM(E729:E736)/8)+E728)/2</f>
        <v>0.9912150229308494</v>
      </c>
      <c r="F737" s="305">
        <f>F728</f>
        <v>325407720</v>
      </c>
      <c r="G737" s="305">
        <f>G728</f>
        <v>284963392.64000005</v>
      </c>
      <c r="H737" s="432">
        <f>H728</f>
        <v>0.9347836696501286</v>
      </c>
      <c r="I737" s="432">
        <f>E737/H737</f>
        <v>1.0603683559232928</v>
      </c>
      <c r="J737" s="432"/>
    </row>
    <row r="738" spans="1:10" ht="25.5">
      <c r="A738" s="102" t="s">
        <v>270</v>
      </c>
      <c r="B738" s="276"/>
      <c r="C738" s="276"/>
      <c r="D738" s="276"/>
      <c r="E738" s="157"/>
      <c r="F738" s="87">
        <f>F737/F809</f>
        <v>0.1327374777036817</v>
      </c>
      <c r="G738" s="87">
        <f>G737/G809</f>
        <v>0.12064845813252485</v>
      </c>
      <c r="H738" s="262"/>
      <c r="I738" s="157"/>
      <c r="J738" s="480"/>
    </row>
    <row r="739" spans="1:10" ht="12.75" customHeight="1">
      <c r="A739" s="516" t="s">
        <v>148</v>
      </c>
      <c r="B739" s="516"/>
      <c r="C739" s="516"/>
      <c r="D739" s="516"/>
      <c r="E739" s="516"/>
      <c r="F739" s="516"/>
      <c r="G739" s="516"/>
      <c r="H739" s="516"/>
      <c r="I739" s="516"/>
      <c r="J739" s="516"/>
    </row>
    <row r="740" spans="1:10" ht="14.25" customHeight="1">
      <c r="A740" s="511" t="s">
        <v>21</v>
      </c>
      <c r="B740" s="511"/>
      <c r="C740" s="511"/>
      <c r="D740" s="511"/>
      <c r="E740" s="511"/>
      <c r="F740" s="511"/>
      <c r="G740" s="511"/>
      <c r="H740" s="511"/>
      <c r="I740" s="511"/>
      <c r="J740" s="39"/>
    </row>
    <row r="741" spans="1:10" ht="76.5">
      <c r="A741" s="21" t="s">
        <v>633</v>
      </c>
      <c r="B741" s="87"/>
      <c r="C741" s="87"/>
      <c r="D741" s="87"/>
      <c r="E741" s="93"/>
      <c r="F741" s="87">
        <v>200600</v>
      </c>
      <c r="G741" s="87">
        <v>200600</v>
      </c>
      <c r="H741" s="93">
        <f>G741/F741</f>
        <v>1</v>
      </c>
      <c r="I741" s="123"/>
      <c r="J741" s="65"/>
    </row>
    <row r="742" spans="1:10" ht="25.5">
      <c r="A742" s="21" t="s">
        <v>51</v>
      </c>
      <c r="B742" s="87">
        <v>39</v>
      </c>
      <c r="C742" s="87">
        <v>39</v>
      </c>
      <c r="D742" s="87">
        <f>C742-B742</f>
        <v>0</v>
      </c>
      <c r="E742" s="93">
        <f>C742/B742</f>
        <v>1</v>
      </c>
      <c r="F742" s="87"/>
      <c r="G742" s="87"/>
      <c r="H742" s="93"/>
      <c r="I742" s="123"/>
      <c r="J742" s="13"/>
    </row>
    <row r="743" spans="1:10" ht="12.75">
      <c r="A743" s="21" t="s">
        <v>22</v>
      </c>
      <c r="B743" s="87"/>
      <c r="C743" s="87"/>
      <c r="D743" s="87"/>
      <c r="E743" s="93"/>
      <c r="F743" s="87">
        <v>29611610</v>
      </c>
      <c r="G743" s="87">
        <v>29222296.86</v>
      </c>
      <c r="H743" s="93">
        <f>G743/F743</f>
        <v>0.986852685821541</v>
      </c>
      <c r="I743" s="123"/>
      <c r="J743" s="46"/>
    </row>
    <row r="744" spans="1:10" ht="38.25">
      <c r="A744" s="21" t="s">
        <v>699</v>
      </c>
      <c r="B744" s="121">
        <v>5.573</v>
      </c>
      <c r="C744" s="121">
        <v>5.573</v>
      </c>
      <c r="D744" s="87">
        <f>C744-B744</f>
        <v>0</v>
      </c>
      <c r="E744" s="93">
        <f>C744/B744</f>
        <v>1</v>
      </c>
      <c r="F744" s="87"/>
      <c r="G744" s="87"/>
      <c r="H744" s="93"/>
      <c r="I744" s="123"/>
      <c r="J744" s="46"/>
    </row>
    <row r="745" spans="1:10" ht="12.75">
      <c r="A745" s="366" t="s">
        <v>516</v>
      </c>
      <c r="B745" s="262">
        <f>SUM(B742:B744)</f>
        <v>44.573</v>
      </c>
      <c r="C745" s="262">
        <f>SUM(C742:C744)</f>
        <v>44.573</v>
      </c>
      <c r="D745" s="276">
        <f>C745-B745</f>
        <v>0</v>
      </c>
      <c r="E745" s="157">
        <f>C745/B745</f>
        <v>1</v>
      </c>
      <c r="F745" s="276">
        <f>SUM((F741:F743))</f>
        <v>29812210</v>
      </c>
      <c r="G745" s="276">
        <f>SUM((G741:G743))</f>
        <v>29422896.86</v>
      </c>
      <c r="H745" s="157">
        <f>(H741+H743)/2</f>
        <v>0.9934263429107705</v>
      </c>
      <c r="I745" s="369">
        <f>E745/H745</f>
        <v>1.0066171560037038</v>
      </c>
      <c r="J745" s="40"/>
    </row>
    <row r="746" spans="1:10" ht="12.75">
      <c r="A746" s="504" t="s">
        <v>23</v>
      </c>
      <c r="B746" s="504"/>
      <c r="C746" s="504"/>
      <c r="D746" s="504"/>
      <c r="E746" s="504"/>
      <c r="F746" s="504"/>
      <c r="G746" s="504"/>
      <c r="H746" s="504"/>
      <c r="I746" s="504"/>
      <c r="J746" s="504"/>
    </row>
    <row r="747" spans="1:10" ht="63.75">
      <c r="A747" s="21" t="s">
        <v>702</v>
      </c>
      <c r="B747" s="124"/>
      <c r="C747" s="124"/>
      <c r="D747" s="124"/>
      <c r="E747" s="124"/>
      <c r="F747" s="87">
        <v>1089304.73</v>
      </c>
      <c r="G747" s="87">
        <v>1089304.73</v>
      </c>
      <c r="H747" s="93">
        <f>G747/F747</f>
        <v>1</v>
      </c>
      <c r="I747" s="124"/>
      <c r="J747" s="66"/>
    </row>
    <row r="748" spans="1:10" ht="38.25">
      <c r="A748" s="21" t="s">
        <v>4</v>
      </c>
      <c r="B748" s="124"/>
      <c r="C748" s="124"/>
      <c r="D748" s="124"/>
      <c r="E748" s="124"/>
      <c r="F748" s="87">
        <v>1651795.79</v>
      </c>
      <c r="G748" s="87">
        <v>1651795.79</v>
      </c>
      <c r="H748" s="93">
        <f>G748/F748</f>
        <v>1</v>
      </c>
      <c r="I748" s="124"/>
      <c r="J748" s="66"/>
    </row>
    <row r="749" spans="1:10" ht="51">
      <c r="A749" s="21" t="s">
        <v>5</v>
      </c>
      <c r="B749" s="124"/>
      <c r="C749" s="124"/>
      <c r="D749" s="124"/>
      <c r="E749" s="124"/>
      <c r="F749" s="87">
        <v>1319549.89</v>
      </c>
      <c r="G749" s="87">
        <v>1319549.89</v>
      </c>
      <c r="H749" s="93">
        <f>G749/F749</f>
        <v>1</v>
      </c>
      <c r="I749" s="124"/>
      <c r="J749" s="66"/>
    </row>
    <row r="750" spans="1:10" ht="25.5">
      <c r="A750" s="7" t="s">
        <v>24</v>
      </c>
      <c r="B750" s="153"/>
      <c r="C750" s="153"/>
      <c r="D750" s="153"/>
      <c r="E750" s="153"/>
      <c r="F750" s="154">
        <v>3431339.2</v>
      </c>
      <c r="G750" s="154">
        <v>3431339.2</v>
      </c>
      <c r="H750" s="93">
        <f>G750/F750</f>
        <v>1</v>
      </c>
      <c r="I750" s="153"/>
      <c r="J750" s="47"/>
    </row>
    <row r="751" spans="1:10" ht="12.75">
      <c r="A751" s="7" t="s">
        <v>346</v>
      </c>
      <c r="B751" s="87">
        <v>19.9</v>
      </c>
      <c r="C751" s="87">
        <v>19.9</v>
      </c>
      <c r="D751" s="87">
        <f aca="true" t="shared" si="61" ref="D751:D760">C751-B751</f>
        <v>0</v>
      </c>
      <c r="E751" s="93">
        <f aca="true" t="shared" si="62" ref="E751:E760">C751/B751</f>
        <v>1</v>
      </c>
      <c r="F751" s="154"/>
      <c r="G751" s="154"/>
      <c r="H751" s="93"/>
      <c r="I751" s="153"/>
      <c r="J751" s="47"/>
    </row>
    <row r="752" spans="1:10" ht="25.5">
      <c r="A752" s="7" t="s">
        <v>347</v>
      </c>
      <c r="B752" s="87">
        <v>5</v>
      </c>
      <c r="C752" s="87">
        <v>5</v>
      </c>
      <c r="D752" s="87">
        <f t="shared" si="61"/>
        <v>0</v>
      </c>
      <c r="E752" s="93">
        <f t="shared" si="62"/>
        <v>1</v>
      </c>
      <c r="F752" s="154"/>
      <c r="G752" s="154"/>
      <c r="H752" s="93"/>
      <c r="I752" s="153"/>
      <c r="J752" s="47"/>
    </row>
    <row r="753" spans="1:10" ht="12.75">
      <c r="A753" s="7" t="s">
        <v>348</v>
      </c>
      <c r="B753" s="87">
        <v>375</v>
      </c>
      <c r="C753" s="87">
        <v>375</v>
      </c>
      <c r="D753" s="87">
        <f t="shared" si="61"/>
        <v>0</v>
      </c>
      <c r="E753" s="93">
        <f t="shared" si="62"/>
        <v>1</v>
      </c>
      <c r="F753" s="154"/>
      <c r="G753" s="154"/>
      <c r="H753" s="93"/>
      <c r="I753" s="153"/>
      <c r="J753" s="47"/>
    </row>
    <row r="754" spans="1:10" ht="25.5">
      <c r="A754" s="7" t="s">
        <v>703</v>
      </c>
      <c r="B754" s="87">
        <v>96</v>
      </c>
      <c r="C754" s="87">
        <v>96</v>
      </c>
      <c r="D754" s="87">
        <f t="shared" si="61"/>
        <v>0</v>
      </c>
      <c r="E754" s="93">
        <f t="shared" si="62"/>
        <v>1</v>
      </c>
      <c r="F754" s="154"/>
      <c r="G754" s="154"/>
      <c r="H754" s="93"/>
      <c r="I754" s="153"/>
      <c r="J754" s="47"/>
    </row>
    <row r="755" spans="1:10" ht="25.5">
      <c r="A755" s="55" t="s">
        <v>349</v>
      </c>
      <c r="B755" s="87">
        <v>17529</v>
      </c>
      <c r="C755" s="87">
        <v>17529</v>
      </c>
      <c r="D755" s="87">
        <f t="shared" si="61"/>
        <v>0</v>
      </c>
      <c r="E755" s="93">
        <f t="shared" si="62"/>
        <v>1</v>
      </c>
      <c r="F755" s="154"/>
      <c r="G755" s="154"/>
      <c r="H755" s="93"/>
      <c r="I755" s="153"/>
      <c r="J755" s="47"/>
    </row>
    <row r="756" spans="1:10" ht="25.5">
      <c r="A756" s="55" t="s">
        <v>350</v>
      </c>
      <c r="B756" s="87">
        <v>1000</v>
      </c>
      <c r="C756" s="87">
        <v>1000</v>
      </c>
      <c r="D756" s="87">
        <f t="shared" si="61"/>
        <v>0</v>
      </c>
      <c r="E756" s="93">
        <f t="shared" si="62"/>
        <v>1</v>
      </c>
      <c r="F756" s="154"/>
      <c r="G756" s="154"/>
      <c r="H756" s="93"/>
      <c r="I756" s="153"/>
      <c r="J756" s="47"/>
    </row>
    <row r="757" spans="1:10" ht="12.75">
      <c r="A757" s="55" t="s">
        <v>351</v>
      </c>
      <c r="B757" s="87">
        <v>240</v>
      </c>
      <c r="C757" s="87">
        <v>240</v>
      </c>
      <c r="D757" s="87">
        <f t="shared" si="61"/>
        <v>0</v>
      </c>
      <c r="E757" s="93">
        <f t="shared" si="62"/>
        <v>1</v>
      </c>
      <c r="F757" s="154"/>
      <c r="G757" s="154"/>
      <c r="H757" s="93"/>
      <c r="I757" s="153"/>
      <c r="J757" s="47"/>
    </row>
    <row r="758" spans="1:10" ht="25.5">
      <c r="A758" s="55" t="s">
        <v>352</v>
      </c>
      <c r="B758" s="87">
        <v>94</v>
      </c>
      <c r="C758" s="87">
        <v>94</v>
      </c>
      <c r="D758" s="87">
        <f t="shared" si="61"/>
        <v>0</v>
      </c>
      <c r="E758" s="93">
        <f t="shared" si="62"/>
        <v>1</v>
      </c>
      <c r="F758" s="154"/>
      <c r="G758" s="154"/>
      <c r="H758" s="93"/>
      <c r="I758" s="153"/>
      <c r="J758" s="47"/>
    </row>
    <row r="759" spans="1:10" ht="25.5">
      <c r="A759" s="55" t="s">
        <v>353</v>
      </c>
      <c r="B759" s="87">
        <v>191</v>
      </c>
      <c r="C759" s="87">
        <v>191</v>
      </c>
      <c r="D759" s="87">
        <f t="shared" si="61"/>
        <v>0</v>
      </c>
      <c r="E759" s="93">
        <f t="shared" si="62"/>
        <v>1</v>
      </c>
      <c r="F759" s="154"/>
      <c r="G759" s="154"/>
      <c r="H759" s="93"/>
      <c r="I759" s="153"/>
      <c r="J759" s="47"/>
    </row>
    <row r="760" spans="1:10" ht="12.75">
      <c r="A760" s="366" t="s">
        <v>34</v>
      </c>
      <c r="B760" s="368">
        <f>SUM(B751:B759)</f>
        <v>19549.9</v>
      </c>
      <c r="C760" s="368">
        <f>SUM(C751:C759)</f>
        <v>19549.9</v>
      </c>
      <c r="D760" s="368">
        <f t="shared" si="61"/>
        <v>0</v>
      </c>
      <c r="E760" s="369">
        <f t="shared" si="62"/>
        <v>1</v>
      </c>
      <c r="F760" s="368">
        <f>SUM(F747:F750)</f>
        <v>7491989.61</v>
      </c>
      <c r="G760" s="368">
        <f>SUM(G747:G750)</f>
        <v>7491989.61</v>
      </c>
      <c r="H760" s="157">
        <f>G760/F760</f>
        <v>1</v>
      </c>
      <c r="I760" s="369">
        <f>E760/H760</f>
        <v>1</v>
      </c>
      <c r="J760" s="41"/>
    </row>
    <row r="761" spans="1:10" ht="25.5">
      <c r="A761" s="1" t="s">
        <v>101</v>
      </c>
      <c r="B761" s="153"/>
      <c r="C761" s="153"/>
      <c r="D761" s="153"/>
      <c r="E761" s="153"/>
      <c r="F761" s="155">
        <f>F762/F809</f>
        <v>0.015216803596380767</v>
      </c>
      <c r="G761" s="155">
        <f>G762/G809</f>
        <v>0.015629109737506464</v>
      </c>
      <c r="H761" s="156"/>
      <c r="I761" s="153"/>
      <c r="J761" s="41"/>
    </row>
    <row r="762" spans="1:10" ht="12.75">
      <c r="A762" s="303" t="s">
        <v>30</v>
      </c>
      <c r="B762" s="304">
        <f>B745+B760</f>
        <v>19594.473</v>
      </c>
      <c r="C762" s="304">
        <f>C745+C760</f>
        <v>19594.473</v>
      </c>
      <c r="D762" s="304">
        <f>C762-B762</f>
        <v>0</v>
      </c>
      <c r="E762" s="304">
        <f>C762/B762</f>
        <v>1</v>
      </c>
      <c r="F762" s="305">
        <f>F745+F760</f>
        <v>37304199.61</v>
      </c>
      <c r="G762" s="305">
        <f>G745+G760</f>
        <v>36914886.47</v>
      </c>
      <c r="H762" s="306">
        <f>(H745+H760)/2</f>
        <v>0.9967131714553852</v>
      </c>
      <c r="I762" s="306">
        <f>E762/H762</f>
        <v>1.003297667411995</v>
      </c>
      <c r="J762" s="306"/>
    </row>
    <row r="763" spans="1:10" ht="15.75" customHeight="1">
      <c r="A763" s="505" t="s">
        <v>149</v>
      </c>
      <c r="B763" s="505"/>
      <c r="C763" s="505"/>
      <c r="D763" s="505"/>
      <c r="E763" s="505"/>
      <c r="F763" s="505"/>
      <c r="G763" s="505"/>
      <c r="H763" s="505"/>
      <c r="I763" s="505"/>
      <c r="J763" s="505"/>
    </row>
    <row r="764" spans="1:10" ht="75" customHeight="1">
      <c r="A764" s="21" t="s">
        <v>557</v>
      </c>
      <c r="B764" s="136">
        <v>89</v>
      </c>
      <c r="C764" s="136">
        <v>89</v>
      </c>
      <c r="D764" s="136">
        <f>C764-B764</f>
        <v>0</v>
      </c>
      <c r="E764" s="136">
        <f>C764/B764</f>
        <v>1</v>
      </c>
      <c r="F764" s="152"/>
      <c r="G764" s="152"/>
      <c r="H764" s="152"/>
      <c r="I764" s="152"/>
      <c r="J764" s="152"/>
    </row>
    <row r="765" spans="1:10" ht="102">
      <c r="A765" s="21" t="s">
        <v>558</v>
      </c>
      <c r="B765" s="136">
        <v>3.14</v>
      </c>
      <c r="C765" s="136">
        <v>3.14</v>
      </c>
      <c r="D765" s="136">
        <f>C765-B765</f>
        <v>0</v>
      </c>
      <c r="E765" s="136">
        <f>C765/B765</f>
        <v>1</v>
      </c>
      <c r="F765" s="152"/>
      <c r="G765" s="152"/>
      <c r="H765" s="152"/>
      <c r="I765" s="152"/>
      <c r="J765" s="152"/>
    </row>
    <row r="766" spans="1:10" ht="99" customHeight="1">
      <c r="A766" s="21" t="s">
        <v>559</v>
      </c>
      <c r="B766" s="136">
        <v>96.9</v>
      </c>
      <c r="C766" s="136">
        <v>96.9</v>
      </c>
      <c r="D766" s="136">
        <f>C766-B766</f>
        <v>0</v>
      </c>
      <c r="E766" s="136">
        <f>C766/B766</f>
        <v>1</v>
      </c>
      <c r="F766" s="152"/>
      <c r="G766" s="152"/>
      <c r="H766" s="152"/>
      <c r="I766" s="152"/>
      <c r="J766" s="152"/>
    </row>
    <row r="767" spans="1:10" ht="326.25" customHeight="1">
      <c r="A767" s="7" t="s">
        <v>212</v>
      </c>
      <c r="B767" s="7"/>
      <c r="C767" s="7"/>
      <c r="D767" s="146"/>
      <c r="E767" s="8"/>
      <c r="F767" s="8">
        <v>3476000</v>
      </c>
      <c r="G767" s="8">
        <v>380395.26</v>
      </c>
      <c r="H767" s="8">
        <f>G767/F767</f>
        <v>0.10943476985040276</v>
      </c>
      <c r="I767" s="8"/>
      <c r="J767" s="434" t="s">
        <v>575</v>
      </c>
    </row>
    <row r="768" spans="1:10" ht="50.25" customHeight="1">
      <c r="A768" s="7" t="s">
        <v>188</v>
      </c>
      <c r="B768" s="11"/>
      <c r="C768" s="11"/>
      <c r="D768" s="11"/>
      <c r="E768" s="8"/>
      <c r="F768" s="11">
        <v>3096360</v>
      </c>
      <c r="G768" s="11">
        <v>3096360</v>
      </c>
      <c r="H768" s="8">
        <f>G768/F768</f>
        <v>1</v>
      </c>
      <c r="I768" s="8"/>
      <c r="J768" s="46"/>
    </row>
    <row r="769" spans="1:10" ht="12.75" customHeight="1">
      <c r="A769" s="303" t="s">
        <v>649</v>
      </c>
      <c r="B769" s="289">
        <f>B764+B765+B766</f>
        <v>189.04000000000002</v>
      </c>
      <c r="C769" s="289">
        <f>C764+C765+C766</f>
        <v>189.04000000000002</v>
      </c>
      <c r="D769" s="289">
        <f>C769-B769</f>
        <v>0</v>
      </c>
      <c r="E769" s="290">
        <f>(E764+E765+E766)/3</f>
        <v>1</v>
      </c>
      <c r="F769" s="289">
        <f>F767+F768</f>
        <v>6572360</v>
      </c>
      <c r="G769" s="289">
        <f>G767+G768</f>
        <v>3476755.26</v>
      </c>
      <c r="H769" s="290">
        <f>(H767+H768)/2</f>
        <v>0.5547173849252014</v>
      </c>
      <c r="I769" s="290">
        <f>E769/H769</f>
        <v>1.802719776188087</v>
      </c>
      <c r="J769" s="7"/>
    </row>
    <row r="770" spans="1:10" ht="25.5">
      <c r="A770" s="1" t="s">
        <v>101</v>
      </c>
      <c r="B770" s="153"/>
      <c r="C770" s="153"/>
      <c r="D770" s="153"/>
      <c r="E770" s="153"/>
      <c r="F770" s="155">
        <f>F769/F809</f>
        <v>0.0026809397421811913</v>
      </c>
      <c r="G770" s="155">
        <f>G769/G809</f>
        <v>0.0014719966573147319</v>
      </c>
      <c r="H770" s="156"/>
      <c r="I770" s="153"/>
      <c r="J770" s="148"/>
    </row>
    <row r="771" spans="1:10" ht="12.75" customHeight="1">
      <c r="A771" s="505" t="s">
        <v>31</v>
      </c>
      <c r="B771" s="505"/>
      <c r="C771" s="505"/>
      <c r="D771" s="505"/>
      <c r="E771" s="505"/>
      <c r="F771" s="505"/>
      <c r="G771" s="505"/>
      <c r="H771" s="505"/>
      <c r="I771" s="505"/>
      <c r="J771" s="505"/>
    </row>
    <row r="772" spans="1:10" ht="36" customHeight="1">
      <c r="A772" s="51" t="s">
        <v>67</v>
      </c>
      <c r="B772" s="282">
        <v>1</v>
      </c>
      <c r="C772" s="282">
        <v>1</v>
      </c>
      <c r="D772" s="87">
        <f>C772-B772</f>
        <v>0</v>
      </c>
      <c r="E772" s="121">
        <f>C772/B772</f>
        <v>1</v>
      </c>
      <c r="F772" s="87">
        <v>3418177.07</v>
      </c>
      <c r="G772" s="87">
        <v>3418177.07</v>
      </c>
      <c r="H772" s="121">
        <f>G772/F772</f>
        <v>1</v>
      </c>
      <c r="I772" s="157"/>
      <c r="J772" s="46"/>
    </row>
    <row r="773" spans="1:10" ht="50.25" customHeight="1">
      <c r="A773" s="51" t="s">
        <v>652</v>
      </c>
      <c r="B773" s="283"/>
      <c r="C773" s="283"/>
      <c r="D773" s="283"/>
      <c r="E773" s="283"/>
      <c r="F773" s="87">
        <v>59511422.93</v>
      </c>
      <c r="G773" s="87">
        <v>52103916.77</v>
      </c>
      <c r="H773" s="121">
        <f>G773/F773</f>
        <v>0.8755279945379052</v>
      </c>
      <c r="I773" s="157"/>
      <c r="J773" s="285" t="s">
        <v>121</v>
      </c>
    </row>
    <row r="774" spans="1:10" ht="15.75">
      <c r="A774" s="307" t="s">
        <v>15</v>
      </c>
      <c r="B774" s="435">
        <f aca="true" t="shared" si="63" ref="B774:G774">B773+B772</f>
        <v>1</v>
      </c>
      <c r="C774" s="435">
        <f t="shared" si="63"/>
        <v>1</v>
      </c>
      <c r="D774" s="435">
        <f t="shared" si="63"/>
        <v>0</v>
      </c>
      <c r="E774" s="436">
        <f t="shared" si="63"/>
        <v>1</v>
      </c>
      <c r="F774" s="308">
        <f t="shared" si="63"/>
        <v>62929600</v>
      </c>
      <c r="G774" s="308">
        <f t="shared" si="63"/>
        <v>55522093.84</v>
      </c>
      <c r="H774" s="301">
        <f>G774/F774</f>
        <v>0.8822889997711729</v>
      </c>
      <c r="I774" s="306">
        <f>E774/H774</f>
        <v>1.1334154684682187</v>
      </c>
      <c r="J774" s="281"/>
    </row>
    <row r="775" spans="1:10" ht="25.5">
      <c r="A775" s="1" t="s">
        <v>101</v>
      </c>
      <c r="B775" s="284"/>
      <c r="C775" s="284"/>
      <c r="D775" s="276"/>
      <c r="E775" s="157"/>
      <c r="F775" s="229">
        <f>F774/F809</f>
        <v>0.02566969332166307</v>
      </c>
      <c r="G775" s="229">
        <f>G774/G809</f>
        <v>0.023507072091003285</v>
      </c>
      <c r="H775" s="121"/>
      <c r="I775" s="157"/>
      <c r="J775" s="41"/>
    </row>
    <row r="776" spans="1:10" ht="19.5" customHeight="1">
      <c r="A776" s="508" t="s">
        <v>542</v>
      </c>
      <c r="B776" s="508"/>
      <c r="C776" s="508"/>
      <c r="D776" s="508"/>
      <c r="E776" s="508"/>
      <c r="F776" s="508"/>
      <c r="G776" s="508"/>
      <c r="H776" s="508"/>
      <c r="I776" s="508"/>
      <c r="J776" s="508"/>
    </row>
    <row r="777" spans="1:10" ht="24" customHeight="1">
      <c r="A777" s="506" t="s">
        <v>52</v>
      </c>
      <c r="B777" s="506"/>
      <c r="C777" s="506"/>
      <c r="D777" s="506"/>
      <c r="E777" s="506"/>
      <c r="F777" s="506"/>
      <c r="G777" s="506"/>
      <c r="H777" s="506"/>
      <c r="I777" s="506"/>
      <c r="J777" s="506"/>
    </row>
    <row r="778" spans="1:10" ht="49.5" customHeight="1">
      <c r="A778" s="131" t="s">
        <v>679</v>
      </c>
      <c r="B778" s="132"/>
      <c r="C778" s="132"/>
      <c r="D778" s="132"/>
      <c r="E778" s="141"/>
      <c r="F778" s="133">
        <f>115000</f>
        <v>115000</v>
      </c>
      <c r="G778" s="133">
        <v>115000</v>
      </c>
      <c r="H778" s="437">
        <f>G778/F778</f>
        <v>1</v>
      </c>
      <c r="I778" s="133"/>
      <c r="J778" s="132"/>
    </row>
    <row r="779" spans="1:10" ht="76.5">
      <c r="A779" s="131" t="s">
        <v>264</v>
      </c>
      <c r="B779" s="132">
        <v>2</v>
      </c>
      <c r="C779" s="132">
        <v>2</v>
      </c>
      <c r="D779" s="132">
        <f>C779-B779</f>
        <v>0</v>
      </c>
      <c r="E779" s="405">
        <f>C779/B779</f>
        <v>1</v>
      </c>
      <c r="F779" s="133"/>
      <c r="G779" s="133"/>
      <c r="H779" s="133"/>
      <c r="I779" s="133"/>
      <c r="J779" s="132"/>
    </row>
    <row r="780" spans="1:10" ht="51" customHeight="1">
      <c r="A780" s="131" t="s">
        <v>263</v>
      </c>
      <c r="B780" s="132">
        <v>5</v>
      </c>
      <c r="C780" s="132">
        <v>5</v>
      </c>
      <c r="D780" s="132">
        <f>C780-B780</f>
        <v>0</v>
      </c>
      <c r="E780" s="405">
        <f>C780/B780</f>
        <v>1</v>
      </c>
      <c r="F780" s="133"/>
      <c r="G780" s="438"/>
      <c r="H780" s="439"/>
      <c r="I780" s="439"/>
      <c r="J780" s="134"/>
    </row>
    <row r="781" spans="1:10" ht="25.5">
      <c r="A781" s="131" t="s">
        <v>508</v>
      </c>
      <c r="B781" s="132">
        <v>3</v>
      </c>
      <c r="C781" s="132">
        <v>3</v>
      </c>
      <c r="D781" s="132">
        <f>C781-B781</f>
        <v>0</v>
      </c>
      <c r="E781" s="405">
        <f>C781/B781</f>
        <v>1</v>
      </c>
      <c r="F781" s="133"/>
      <c r="G781" s="438"/>
      <c r="H781" s="439"/>
      <c r="I781" s="439"/>
      <c r="J781" s="134"/>
    </row>
    <row r="782" spans="1:10" ht="12.75">
      <c r="A782" s="131" t="s">
        <v>509</v>
      </c>
      <c r="B782" s="132">
        <v>2</v>
      </c>
      <c r="C782" s="132">
        <v>2</v>
      </c>
      <c r="D782" s="132">
        <f>C782-B782</f>
        <v>0</v>
      </c>
      <c r="E782" s="405">
        <f>C782/B782</f>
        <v>1</v>
      </c>
      <c r="F782" s="133"/>
      <c r="G782" s="438"/>
      <c r="H782" s="439"/>
      <c r="I782" s="439"/>
      <c r="J782" s="134"/>
    </row>
    <row r="783" spans="1:10" ht="26.25" customHeight="1">
      <c r="A783" s="506" t="s">
        <v>543</v>
      </c>
      <c r="B783" s="506"/>
      <c r="C783" s="506"/>
      <c r="D783" s="506"/>
      <c r="E783" s="506"/>
      <c r="F783" s="506"/>
      <c r="G783" s="506"/>
      <c r="H783" s="506"/>
      <c r="I783" s="506"/>
      <c r="J783" s="440"/>
    </row>
    <row r="784" spans="1:10" ht="38.25">
      <c r="A784" s="131" t="s">
        <v>690</v>
      </c>
      <c r="B784" s="132"/>
      <c r="C784" s="132"/>
      <c r="D784" s="132"/>
      <c r="E784" s="141"/>
      <c r="F784" s="133">
        <v>4605060</v>
      </c>
      <c r="G784" s="133">
        <v>4605060</v>
      </c>
      <c r="H784" s="437">
        <f>G784/F784</f>
        <v>1</v>
      </c>
      <c r="I784" s="133"/>
      <c r="J784" s="133"/>
    </row>
    <row r="785" spans="1:10" ht="26.25" customHeight="1">
      <c r="A785" s="131" t="s">
        <v>459</v>
      </c>
      <c r="B785" s="132">
        <v>1</v>
      </c>
      <c r="C785" s="132">
        <v>1</v>
      </c>
      <c r="D785" s="132">
        <v>0</v>
      </c>
      <c r="E785" s="405">
        <v>1</v>
      </c>
      <c r="F785" s="133"/>
      <c r="G785" s="133"/>
      <c r="H785" s="437"/>
      <c r="I785" s="133"/>
      <c r="J785" s="133"/>
    </row>
    <row r="786" spans="1:10" ht="25.5">
      <c r="A786" s="131" t="s">
        <v>460</v>
      </c>
      <c r="B786" s="132">
        <v>3</v>
      </c>
      <c r="C786" s="132">
        <v>3</v>
      </c>
      <c r="D786" s="132">
        <f>C786-B786</f>
        <v>0</v>
      </c>
      <c r="E786" s="405">
        <f>C786/B786</f>
        <v>1</v>
      </c>
      <c r="F786" s="132"/>
      <c r="G786" s="132"/>
      <c r="H786" s="437"/>
      <c r="I786" s="132"/>
      <c r="J786" s="132"/>
    </row>
    <row r="787" spans="1:10" ht="63.75">
      <c r="A787" s="131" t="s">
        <v>461</v>
      </c>
      <c r="B787" s="132">
        <v>12</v>
      </c>
      <c r="C787" s="132">
        <v>12</v>
      </c>
      <c r="D787" s="132">
        <f>C787-B787</f>
        <v>0</v>
      </c>
      <c r="E787" s="405">
        <f>C787/B787</f>
        <v>1</v>
      </c>
      <c r="F787" s="132"/>
      <c r="G787" s="132"/>
      <c r="H787" s="437"/>
      <c r="I787" s="132"/>
      <c r="J787" s="132"/>
    </row>
    <row r="788" spans="1:10" ht="25.5">
      <c r="A788" s="131" t="s">
        <v>265</v>
      </c>
      <c r="B788" s="132"/>
      <c r="C788" s="132"/>
      <c r="D788" s="132"/>
      <c r="E788" s="405"/>
      <c r="F788" s="132"/>
      <c r="G788" s="132"/>
      <c r="H788" s="437"/>
      <c r="I788" s="132"/>
      <c r="J788" s="132"/>
    </row>
    <row r="789" spans="1:10" ht="38.25">
      <c r="A789" s="131" t="s">
        <v>266</v>
      </c>
      <c r="B789" s="132">
        <v>1</v>
      </c>
      <c r="C789" s="132">
        <v>1</v>
      </c>
      <c r="D789" s="132">
        <f>C789-B789</f>
        <v>0</v>
      </c>
      <c r="E789" s="405">
        <f>C789/B789</f>
        <v>1</v>
      </c>
      <c r="F789" s="132"/>
      <c r="G789" s="132"/>
      <c r="H789" s="437"/>
      <c r="I789" s="132"/>
      <c r="J789" s="132"/>
    </row>
    <row r="790" spans="1:10" ht="12.75">
      <c r="A790" s="307" t="s">
        <v>36</v>
      </c>
      <c r="B790" s="435">
        <f>B779+B780+B781+B782+B785+B786+B787+B789</f>
        <v>29</v>
      </c>
      <c r="C790" s="435">
        <f>C779+C780+C781+C782+C785+C786+C787+C789</f>
        <v>29</v>
      </c>
      <c r="D790" s="435">
        <f>C790-B790</f>
        <v>0</v>
      </c>
      <c r="E790" s="436">
        <f>C790/B790</f>
        <v>1</v>
      </c>
      <c r="F790" s="308">
        <f>F778+F784</f>
        <v>4720060</v>
      </c>
      <c r="G790" s="308">
        <f>G778+G784</f>
        <v>4720060</v>
      </c>
      <c r="H790" s="301">
        <f>G790/F790</f>
        <v>1</v>
      </c>
      <c r="I790" s="306">
        <f>E790/H790</f>
        <v>1</v>
      </c>
      <c r="J790" s="306"/>
    </row>
    <row r="791" spans="1:10" ht="25.5">
      <c r="A791" s="1" t="s">
        <v>101</v>
      </c>
      <c r="B791" s="284"/>
      <c r="C791" s="284"/>
      <c r="D791" s="276"/>
      <c r="E791" s="157"/>
      <c r="F791" s="121">
        <f>F790/F809</f>
        <v>0.0019253656889579626</v>
      </c>
      <c r="G791" s="121">
        <f>G790/G809</f>
        <v>0.001998389884459389</v>
      </c>
      <c r="H791" s="121"/>
      <c r="I791" s="157"/>
      <c r="J791" s="159"/>
    </row>
    <row r="792" spans="1:10" ht="16.5" customHeight="1">
      <c r="A792" s="503" t="s">
        <v>585</v>
      </c>
      <c r="B792" s="503"/>
      <c r="C792" s="503"/>
      <c r="D792" s="503"/>
      <c r="E792" s="503"/>
      <c r="F792" s="503"/>
      <c r="G792" s="503"/>
      <c r="H792" s="503"/>
      <c r="I792" s="503"/>
      <c r="J792" s="130"/>
    </row>
    <row r="793" spans="1:10" ht="180.75" customHeight="1">
      <c r="A793" s="131" t="s">
        <v>572</v>
      </c>
      <c r="B793" s="119">
        <v>1</v>
      </c>
      <c r="C793" s="119">
        <f>G793/F793</f>
        <v>0.8457317915119235</v>
      </c>
      <c r="D793" s="119">
        <f aca="true" t="shared" si="64" ref="D793:D798">C793-B793</f>
        <v>-0.15426820848807654</v>
      </c>
      <c r="E793" s="229">
        <f>C793/B793</f>
        <v>0.8457317915119235</v>
      </c>
      <c r="F793" s="119">
        <v>2165780.45</v>
      </c>
      <c r="G793" s="119">
        <v>1831669.38</v>
      </c>
      <c r="H793" s="229">
        <f>SUM(G793/F793)</f>
        <v>0.8457317915119235</v>
      </c>
      <c r="I793" s="119"/>
      <c r="J793" s="344" t="s">
        <v>583</v>
      </c>
    </row>
    <row r="794" spans="1:10" ht="51">
      <c r="A794" s="131" t="s">
        <v>580</v>
      </c>
      <c r="B794" s="119">
        <v>1</v>
      </c>
      <c r="C794" s="119">
        <v>1</v>
      </c>
      <c r="D794" s="119">
        <f t="shared" si="64"/>
        <v>0</v>
      </c>
      <c r="E794" s="229">
        <f>C794/B794</f>
        <v>1</v>
      </c>
      <c r="F794" s="119">
        <v>583942.24</v>
      </c>
      <c r="G794" s="119">
        <v>583942.24</v>
      </c>
      <c r="H794" s="229">
        <f>G794/F794</f>
        <v>1</v>
      </c>
      <c r="I794" s="119"/>
      <c r="J794" s="339" t="s">
        <v>356</v>
      </c>
    </row>
    <row r="795" spans="1:10" ht="45">
      <c r="A795" s="131" t="s">
        <v>355</v>
      </c>
      <c r="B795" s="119">
        <v>1</v>
      </c>
      <c r="C795" s="119">
        <v>1</v>
      </c>
      <c r="D795" s="119">
        <f t="shared" si="64"/>
        <v>0</v>
      </c>
      <c r="E795" s="229">
        <f>C795/B795</f>
        <v>1</v>
      </c>
      <c r="F795" s="119">
        <v>2820277.31</v>
      </c>
      <c r="G795" s="119">
        <v>2820277.31</v>
      </c>
      <c r="H795" s="229">
        <f>G795/F795</f>
        <v>1</v>
      </c>
      <c r="I795" s="119"/>
      <c r="J795" s="339" t="s">
        <v>356</v>
      </c>
    </row>
    <row r="796" spans="1:10" ht="63.75">
      <c r="A796" s="371" t="s">
        <v>357</v>
      </c>
      <c r="B796" s="119">
        <v>1</v>
      </c>
      <c r="C796" s="119">
        <v>0</v>
      </c>
      <c r="D796" s="119">
        <f t="shared" si="64"/>
        <v>-1</v>
      </c>
      <c r="E796" s="229">
        <f>C796/B796</f>
        <v>0</v>
      </c>
      <c r="F796" s="119">
        <v>130000</v>
      </c>
      <c r="G796" s="119">
        <v>0</v>
      </c>
      <c r="H796" s="229">
        <f>G796/F796</f>
        <v>0</v>
      </c>
      <c r="I796" s="119"/>
      <c r="J796" s="339" t="s">
        <v>358</v>
      </c>
    </row>
    <row r="797" spans="1:10" ht="89.25">
      <c r="A797" s="406" t="s">
        <v>267</v>
      </c>
      <c r="B797" s="119">
        <v>1</v>
      </c>
      <c r="C797" s="119">
        <v>1</v>
      </c>
      <c r="D797" s="119">
        <f t="shared" si="64"/>
        <v>0</v>
      </c>
      <c r="E797" s="229">
        <f>C797/B797</f>
        <v>1</v>
      </c>
      <c r="F797" s="119">
        <v>571700</v>
      </c>
      <c r="G797" s="119">
        <v>571700</v>
      </c>
      <c r="H797" s="229">
        <f>G797/F797</f>
        <v>1</v>
      </c>
      <c r="I797" s="119"/>
      <c r="J797" s="339"/>
    </row>
    <row r="798" spans="1:10" ht="12.75">
      <c r="A798" s="307" t="s">
        <v>584</v>
      </c>
      <c r="B798" s="435">
        <f>SUM(B793:B797)</f>
        <v>5</v>
      </c>
      <c r="C798" s="435">
        <f>SUM(C793:C797)</f>
        <v>3.8457317915119233</v>
      </c>
      <c r="D798" s="435">
        <f t="shared" si="64"/>
        <v>-1.1542682084880767</v>
      </c>
      <c r="E798" s="290">
        <f>(E793+E794+E795+E796)/4</f>
        <v>0.7114329478779808</v>
      </c>
      <c r="F798" s="308">
        <f>SUM(F793:F797)</f>
        <v>6271700</v>
      </c>
      <c r="G798" s="308">
        <f>SUM(G793:G797)</f>
        <v>5807588.93</v>
      </c>
      <c r="H798" s="301">
        <f>(H793+H794+H795+H796)/4</f>
        <v>0.7114329478779808</v>
      </c>
      <c r="I798" s="306">
        <f>E798/H798</f>
        <v>1</v>
      </c>
      <c r="J798" s="306"/>
    </row>
    <row r="799" spans="1:10" ht="25.5">
      <c r="A799" s="1" t="s">
        <v>101</v>
      </c>
      <c r="B799" s="284"/>
      <c r="C799" s="284"/>
      <c r="D799" s="276"/>
      <c r="E799" s="157"/>
      <c r="F799" s="121">
        <f>F798/F809</f>
        <v>0.0025582971384765564</v>
      </c>
      <c r="G799" s="121">
        <f>G798/G809</f>
        <v>0.0024588303900396026</v>
      </c>
      <c r="H799" s="121"/>
      <c r="I799" s="157"/>
      <c r="J799" s="159"/>
    </row>
    <row r="800" spans="1:10" ht="28.5" customHeight="1">
      <c r="A800" s="507" t="s">
        <v>304</v>
      </c>
      <c r="B800" s="507"/>
      <c r="C800" s="507"/>
      <c r="D800" s="507"/>
      <c r="E800" s="507"/>
      <c r="F800" s="507"/>
      <c r="G800" s="507"/>
      <c r="H800" s="507"/>
      <c r="I800" s="507"/>
      <c r="J800" s="507"/>
    </row>
    <row r="801" spans="1:10" ht="38.25">
      <c r="A801" s="1" t="s">
        <v>299</v>
      </c>
      <c r="B801" s="441"/>
      <c r="C801" s="441"/>
      <c r="D801" s="441"/>
      <c r="E801" s="442"/>
      <c r="F801" s="443">
        <v>898600</v>
      </c>
      <c r="G801" s="443">
        <v>898600</v>
      </c>
      <c r="H801" s="445">
        <f>G801/F801</f>
        <v>1</v>
      </c>
      <c r="I801" s="441"/>
      <c r="J801" s="333"/>
    </row>
    <row r="802" spans="1:10" ht="38.25">
      <c r="A802" s="1" t="s">
        <v>300</v>
      </c>
      <c r="B802" s="441">
        <v>20</v>
      </c>
      <c r="C802" s="441">
        <v>20</v>
      </c>
      <c r="D802" s="441">
        <v>0</v>
      </c>
      <c r="E802" s="445">
        <v>1</v>
      </c>
      <c r="F802" s="441"/>
      <c r="G802" s="441"/>
      <c r="H802" s="445"/>
      <c r="I802" s="441"/>
      <c r="J802" s="333"/>
    </row>
    <row r="803" spans="1:10" ht="38.25">
      <c r="A803" s="1" t="s">
        <v>301</v>
      </c>
      <c r="B803" s="441">
        <v>59</v>
      </c>
      <c r="C803" s="441">
        <v>59</v>
      </c>
      <c r="D803" s="441">
        <f>C803-B803</f>
        <v>0</v>
      </c>
      <c r="E803" s="445">
        <f>C803/B803</f>
        <v>1</v>
      </c>
      <c r="F803" s="441"/>
      <c r="G803" s="441"/>
      <c r="H803" s="445"/>
      <c r="I803" s="441"/>
      <c r="J803" s="333"/>
    </row>
    <row r="804" spans="1:10" ht="38.25">
      <c r="A804" s="1" t="s">
        <v>302</v>
      </c>
      <c r="B804" s="441">
        <v>64.9</v>
      </c>
      <c r="C804" s="441">
        <v>64.9</v>
      </c>
      <c r="D804" s="441">
        <f>C804-B804</f>
        <v>0</v>
      </c>
      <c r="E804" s="445">
        <f>C804/B804</f>
        <v>1</v>
      </c>
      <c r="F804" s="441"/>
      <c r="G804" s="441"/>
      <c r="H804" s="445"/>
      <c r="I804" s="441"/>
      <c r="J804" s="333"/>
    </row>
    <row r="805" spans="1:10" ht="12.75">
      <c r="A805" s="287" t="s">
        <v>303</v>
      </c>
      <c r="B805" s="444">
        <f aca="true" t="shared" si="65" ref="B805:H805">SUM(B801:B804)</f>
        <v>143.9</v>
      </c>
      <c r="C805" s="444">
        <f t="shared" si="65"/>
        <v>143.9</v>
      </c>
      <c r="D805" s="444">
        <f t="shared" si="65"/>
        <v>0</v>
      </c>
      <c r="E805" s="446">
        <f>C805/B805</f>
        <v>1</v>
      </c>
      <c r="F805" s="308">
        <f>SUM(F801:F804)</f>
        <v>898600</v>
      </c>
      <c r="G805" s="308">
        <f>SUM(G801:G804)</f>
        <v>898600</v>
      </c>
      <c r="H805" s="447">
        <f t="shared" si="65"/>
        <v>1</v>
      </c>
      <c r="I805" s="292">
        <f>E805/H805</f>
        <v>1</v>
      </c>
      <c r="J805" s="306"/>
    </row>
    <row r="806" spans="1:10" ht="25.5">
      <c r="A806" s="1" t="s">
        <v>101</v>
      </c>
      <c r="B806" s="284"/>
      <c r="C806" s="284"/>
      <c r="D806" s="276"/>
      <c r="E806" s="157"/>
      <c r="F806" s="372">
        <f>F805/F809</f>
        <v>0.0003665490710070688</v>
      </c>
      <c r="G806" s="372">
        <f>G805/G809</f>
        <v>0.0003804513396387349</v>
      </c>
      <c r="H806" s="15"/>
      <c r="I806" s="15"/>
      <c r="J806" s="159"/>
    </row>
    <row r="807" spans="1:10" ht="12.75">
      <c r="A807" s="374" t="s">
        <v>176</v>
      </c>
      <c r="B807" s="375"/>
      <c r="C807" s="375"/>
      <c r="D807" s="375"/>
      <c r="E807" s="376"/>
      <c r="F807" s="377">
        <f>F589+F630+F657+F689+F737+F762+F769+F774+F790+F798+F805</f>
        <v>1375202204.1</v>
      </c>
      <c r="G807" s="377">
        <f>G589+G630+G657+G689+G737+G762+G769+G774+G790+G798+G805</f>
        <v>1323268441.63</v>
      </c>
      <c r="H807" s="376">
        <f>(H589+H630+H657+H689+H737+H762+H769+H774+H790+H798+H805)/11</f>
        <v>0.9163425212375284</v>
      </c>
      <c r="I807" s="376">
        <f>(I589+I630+H657+I689+I737+I762+I769+I774+I790+I798+I805)/11</f>
        <v>1.0984206015565912</v>
      </c>
      <c r="J807" s="376"/>
    </row>
    <row r="808" spans="1:10" ht="25.5">
      <c r="A808" s="1" t="s">
        <v>101</v>
      </c>
      <c r="B808" s="284"/>
      <c r="C808" s="284"/>
      <c r="D808" s="276"/>
      <c r="E808" s="157"/>
      <c r="F808" s="121">
        <f>F807/F809</f>
        <v>0.5609604833738353</v>
      </c>
      <c r="G808" s="121">
        <f>G807/G809</f>
        <v>0.5602484434896445</v>
      </c>
      <c r="H808" s="15"/>
      <c r="I808" s="15"/>
      <c r="J808" s="43"/>
    </row>
    <row r="809" spans="1:10" ht="15">
      <c r="A809" s="388" t="s">
        <v>177</v>
      </c>
      <c r="B809" s="389"/>
      <c r="C809" s="389"/>
      <c r="D809" s="389"/>
      <c r="E809" s="390"/>
      <c r="F809" s="391">
        <f>F574+F807</f>
        <v>2451513510.95</v>
      </c>
      <c r="G809" s="391">
        <f>G574+G807</f>
        <v>2361931491.3</v>
      </c>
      <c r="H809" s="448">
        <f>(H574+H807)/2</f>
        <v>0.9406817773529126</v>
      </c>
      <c r="I809" s="376">
        <f>(G575*I574)+(G808*I807)</f>
        <v>1.1240840069099325</v>
      </c>
      <c r="J809" s="392"/>
    </row>
    <row r="810" spans="1:6" ht="12.75">
      <c r="A810" s="70"/>
      <c r="F810" s="150"/>
    </row>
  </sheetData>
  <sheetProtection/>
  <mergeCells count="99">
    <mergeCell ref="J555:J563"/>
    <mergeCell ref="A378:J378"/>
    <mergeCell ref="A684:J684"/>
    <mergeCell ref="A13:J13"/>
    <mergeCell ref="A578:J578"/>
    <mergeCell ref="A583:J583"/>
    <mergeCell ref="A345:J345"/>
    <mergeCell ref="A331:J331"/>
    <mergeCell ref="A323:J323"/>
    <mergeCell ref="A295:J295"/>
    <mergeCell ref="A296:J296"/>
    <mergeCell ref="A592:J592"/>
    <mergeCell ref="A621:J621"/>
    <mergeCell ref="A609:J609"/>
    <mergeCell ref="A411:J411"/>
    <mergeCell ref="A427:J427"/>
    <mergeCell ref="A448:I448"/>
    <mergeCell ref="A447:J447"/>
    <mergeCell ref="A479:A480"/>
    <mergeCell ref="A441:J441"/>
    <mergeCell ref="A532:J532"/>
    <mergeCell ref="A360:I360"/>
    <mergeCell ref="A362:J362"/>
    <mergeCell ref="A591:J591"/>
    <mergeCell ref="A577:J577"/>
    <mergeCell ref="A551:J551"/>
    <mergeCell ref="A576:J576"/>
    <mergeCell ref="A369:J369"/>
    <mergeCell ref="A389:J389"/>
    <mergeCell ref="A398:J399"/>
    <mergeCell ref="A495:I495"/>
    <mergeCell ref="A416:J416"/>
    <mergeCell ref="A392:J392"/>
    <mergeCell ref="A408:J408"/>
    <mergeCell ref="A417:J417"/>
    <mergeCell ref="A491:J491"/>
    <mergeCell ref="A27:J27"/>
    <mergeCell ref="A144:J144"/>
    <mergeCell ref="A164:J164"/>
    <mergeCell ref="A72:J72"/>
    <mergeCell ref="J156:J157"/>
    <mergeCell ref="A52:J52"/>
    <mergeCell ref="A154:J154"/>
    <mergeCell ref="A137:J137"/>
    <mergeCell ref="A65:J65"/>
    <mergeCell ref="A1:J1"/>
    <mergeCell ref="A2:J2"/>
    <mergeCell ref="I3:I4"/>
    <mergeCell ref="F3:G3"/>
    <mergeCell ref="A3:A4"/>
    <mergeCell ref="E3:E4"/>
    <mergeCell ref="H3:H4"/>
    <mergeCell ref="J3:J4"/>
    <mergeCell ref="B3:D3"/>
    <mergeCell ref="A64:J64"/>
    <mergeCell ref="A91:J91"/>
    <mergeCell ref="A78:J78"/>
    <mergeCell ref="J80:J81"/>
    <mergeCell ref="A6:J6"/>
    <mergeCell ref="A22:I22"/>
    <mergeCell ref="A7:J7"/>
    <mergeCell ref="A21:J21"/>
    <mergeCell ref="A691:J691"/>
    <mergeCell ref="A666:J666"/>
    <mergeCell ref="A659:J659"/>
    <mergeCell ref="A631:J631"/>
    <mergeCell ref="A660:J660"/>
    <mergeCell ref="A596:J596"/>
    <mergeCell ref="A625:J625"/>
    <mergeCell ref="A90:J90"/>
    <mergeCell ref="A174:J174"/>
    <mergeCell ref="A115:J115"/>
    <mergeCell ref="A155:J155"/>
    <mergeCell ref="A356:I356"/>
    <mergeCell ref="A402:J402"/>
    <mergeCell ref="A355:J355"/>
    <mergeCell ref="A182:J182"/>
    <mergeCell ref="A708:J708"/>
    <mergeCell ref="A720:J720"/>
    <mergeCell ref="A739:J739"/>
    <mergeCell ref="A724:J724"/>
    <mergeCell ref="B715:B716"/>
    <mergeCell ref="D715:D716"/>
    <mergeCell ref="E715:E716"/>
    <mergeCell ref="A800:J800"/>
    <mergeCell ref="A776:J776"/>
    <mergeCell ref="A771:J771"/>
    <mergeCell ref="A692:J692"/>
    <mergeCell ref="A715:A716"/>
    <mergeCell ref="A740:I740"/>
    <mergeCell ref="A694:J694"/>
    <mergeCell ref="A693:J693"/>
    <mergeCell ref="A704:J704"/>
    <mergeCell ref="C715:C716"/>
    <mergeCell ref="A792:I792"/>
    <mergeCell ref="A746:J746"/>
    <mergeCell ref="A763:J763"/>
    <mergeCell ref="A777:J777"/>
    <mergeCell ref="A783:I783"/>
  </mergeCells>
  <printOptions/>
  <pageMargins left="0.1968503937007874" right="0.1968503937007874" top="0.31496062992125984" bottom="0.3149606299212598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Milyaeva</cp:lastModifiedBy>
  <cp:lastPrinted>2020-03-27T09:33:21Z</cp:lastPrinted>
  <dcterms:created xsi:type="dcterms:W3CDTF">2010-05-14T04:48:35Z</dcterms:created>
  <dcterms:modified xsi:type="dcterms:W3CDTF">2020-03-30T04:11:00Z</dcterms:modified>
  <cp:category/>
  <cp:version/>
  <cp:contentType/>
  <cp:contentStatus/>
</cp:coreProperties>
</file>